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ПДиНП\2026\ГАД к прогнозу 26-28\182+\3. 18.07. расчеты уточнение\"/>
    </mc:Choice>
  </mc:AlternateContent>
  <xr:revisionPtr revIDLastSave="0" documentId="13_ncr:1_{D0511C36-FC0C-4662-945F-26201080C450}" xr6:coauthVersionLast="36" xr6:coauthVersionMax="36" xr10:uidLastSave="{00000000-0000-0000-0000-000000000000}"/>
  <bookViews>
    <workbookView xWindow="120" yWindow="465" windowWidth="15135" windowHeight="8115" firstSheet="1" activeTab="10" xr2:uid="{00000000-000D-0000-FFFF-FFFF00000000}"/>
  </bookViews>
  <sheets>
    <sheet name="тыс.руб." sheetId="4" state="hidden" r:id="rId1"/>
    <sheet name="НИО" sheetId="111" r:id="rId2"/>
    <sheet name="ТН ЮЛ" sheetId="104" r:id="rId3"/>
    <sheet name="ТН ФЛ" sheetId="130" r:id="rId4"/>
    <sheet name="ЗН ЮЛ" sheetId="131" state="hidden" r:id="rId5"/>
    <sheet name="ЗН ФЛ " sheetId="86" state="hidden" r:id="rId6"/>
    <sheet name="НИ ФЛ_" sheetId="87" state="hidden" r:id="rId7"/>
    <sheet name="ИБ" sheetId="132" r:id="rId8"/>
    <sheet name="Пени" sheetId="94" r:id="rId9"/>
    <sheet name="Дох акц 9%" sheetId="95" r:id="rId10"/>
    <sheet name="Дох акц этил спирт пищ.сырье" sheetId="96" r:id="rId11"/>
    <sheet name="Дох акц спирт.прод" sheetId="97" r:id="rId12"/>
    <sheet name="Дох акц спирт НЕпищ.сырье" sheetId="98" r:id="rId13"/>
    <sheet name="Дох акц диз.топ" sheetId="99" r:id="rId14"/>
    <sheet name="Дох акц мотор.масла" sheetId="100" r:id="rId15"/>
    <sheet name="Дох акц авт.бенз" sheetId="101" r:id="rId16"/>
    <sheet name="Дох акц прям.бенз" sheetId="102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_____________________________________________thr2">[0]!______________________________________________thr2</definedName>
    <definedName name="_____________________________________________thr2">[0]!_____________________________________________thr2</definedName>
    <definedName name="____________________________________________thr2">[0]!____________________________________________thr2</definedName>
    <definedName name="___________________________________________thr2">[0]!___________________________________________thr2</definedName>
    <definedName name="__________________________________________thr2">[0]!__________________________________________thr2</definedName>
    <definedName name="_________________________________________thr2">[0]!_________________________________________thr2</definedName>
    <definedName name="________________________________________thr2">[0]!________________________________________thr2</definedName>
    <definedName name="_______________________________________thr2">[0]!_______________________________________thr2</definedName>
    <definedName name="______________________________________thr2">[0]!______________________________________thr2</definedName>
    <definedName name="_____________________________________thr2">[0]!_____________________________________thr2</definedName>
    <definedName name="____________________________________thr2">[0]!____________________________________thr2</definedName>
    <definedName name="___________________________________thr2">[0]!___________________________________thr2</definedName>
    <definedName name="__________________________________thr2">[0]!__________________________________thr2</definedName>
    <definedName name="_________________________________thr2">[0]!_________________________________thr2</definedName>
    <definedName name="________________________________thr2">[0]!________________________________thr2</definedName>
    <definedName name="_______________________________thr2">[0]!_______________________________thr2</definedName>
    <definedName name="______________________________thr2">[0]!______________________________thr2</definedName>
    <definedName name="_____________________________thr2">[0]!_____________________________thr2</definedName>
    <definedName name="____________________________thr2">[0]!____________________________thr2</definedName>
    <definedName name="___________________________thr2">[0]!___________________________thr2</definedName>
    <definedName name="__________________________thr2">[0]!__________________________thr2</definedName>
    <definedName name="_________________________thr2">[0]!_________________________thr2</definedName>
    <definedName name="________________________thr2">[0]!________________________thr2</definedName>
    <definedName name="_______________________thr2">[0]!_______________________thr2</definedName>
    <definedName name="______________________thr2">[0]!______________________thr2</definedName>
    <definedName name="_____________________thr2">[0]!_____________________thr2</definedName>
    <definedName name="____________________thr2">[0]!____________________thr2</definedName>
    <definedName name="___________________thr2">[0]!___________________thr2</definedName>
    <definedName name="__________________thr2">[0]!__________________thr2</definedName>
    <definedName name="_________________thr2">[0]!_________________thr2</definedName>
    <definedName name="________________thr2">[0]!________________thr2</definedName>
    <definedName name="_______________thr2">[0]!_______________thr2</definedName>
    <definedName name="______________thr2">[0]!______________thr2</definedName>
    <definedName name="_____________thr2">[0]!_____________thr2</definedName>
    <definedName name="____________thr2">[0]!____________thr2</definedName>
    <definedName name="___________thr2">[0]!___________thr2</definedName>
    <definedName name="__________thr2">[0]!__________thr2</definedName>
    <definedName name="_________thr2">[0]!_________thr2</definedName>
    <definedName name="________thr2">[0]!________thr2</definedName>
    <definedName name="_______thr2">[0]!_______thr2</definedName>
    <definedName name="______thr2">[0]!______thr2</definedName>
    <definedName name="_____thr2">[0]!_____thr2</definedName>
    <definedName name="____thr2">[0]!____thr2</definedName>
    <definedName name="___thr2">[0]!___thr2</definedName>
    <definedName name="__thr2">[0]!__thr2</definedName>
    <definedName name="_1" localSheetId="4">#REF!</definedName>
    <definedName name="_1" localSheetId="3">#REF!</definedName>
    <definedName name="_1">#REF!</definedName>
    <definedName name="_2" localSheetId="4">#REF!</definedName>
    <definedName name="_2" localSheetId="3">#REF!</definedName>
    <definedName name="_2">#REF!</definedName>
    <definedName name="_3" localSheetId="4">#REF!</definedName>
    <definedName name="_3" localSheetId="3">#REF!</definedName>
    <definedName name="_3">#REF!</definedName>
    <definedName name="_inf2007" localSheetId="4">#REF!</definedName>
    <definedName name="_inf2007" localSheetId="3">#REF!</definedName>
    <definedName name="_inf2007">#REF!</definedName>
    <definedName name="_inf2008" localSheetId="4">#REF!</definedName>
    <definedName name="_inf2008" localSheetId="3">#REF!</definedName>
    <definedName name="_inf2008">#REF!</definedName>
    <definedName name="_inf2009" localSheetId="4">#REF!</definedName>
    <definedName name="_inf2009" localSheetId="3">#REF!</definedName>
    <definedName name="_inf2009">#REF!</definedName>
    <definedName name="_inf2010" localSheetId="4">#REF!</definedName>
    <definedName name="_inf2010" localSheetId="3">#REF!</definedName>
    <definedName name="_inf2010">#REF!</definedName>
    <definedName name="_inf2011" localSheetId="4">#REF!</definedName>
    <definedName name="_inf2011" localSheetId="3">#REF!</definedName>
    <definedName name="_inf2011">#REF!</definedName>
    <definedName name="_inf2012" localSheetId="4">#REF!</definedName>
    <definedName name="_inf2012" localSheetId="3">#REF!</definedName>
    <definedName name="_inf2012">#REF!</definedName>
    <definedName name="_inf2013" localSheetId="4">#REF!</definedName>
    <definedName name="_inf2013" localSheetId="3">#REF!</definedName>
    <definedName name="_inf2013">#REF!</definedName>
    <definedName name="_inf2014" localSheetId="4">#REF!</definedName>
    <definedName name="_inf2014" localSheetId="3">#REF!</definedName>
    <definedName name="_inf2014">#REF!</definedName>
    <definedName name="_inf2015" localSheetId="4">#REF!</definedName>
    <definedName name="_inf2015" localSheetId="3">#REF!</definedName>
    <definedName name="_inf2015">#REF!</definedName>
    <definedName name="_thr2">[0]!_thr2</definedName>
    <definedName name="a04t" localSheetId="4">#REF!</definedName>
    <definedName name="a04t" localSheetId="3">#REF!</definedName>
    <definedName name="a04t">#REF!</definedName>
    <definedName name="asada">[0]!asada</definedName>
    <definedName name="belg" localSheetId="4">#REF!</definedName>
    <definedName name="belg" localSheetId="3">#REF!</definedName>
    <definedName name="belg">#REF!</definedName>
    <definedName name="ColLastYearFB">[1]ФедД!$AH$17</definedName>
    <definedName name="ColLastYearFB1">[2]Управление!$AF$17</definedName>
    <definedName name="ColThisYearFB">[1]ФедД!$AG$17</definedName>
    <definedName name="CS_7120_2">'НИ ФЛ_'!#REF!</definedName>
    <definedName name="CS_7120_3">'НИ ФЛ_'!#REF!</definedName>
    <definedName name="CS_7120_4">'НИ ФЛ_'!#REF!</definedName>
    <definedName name="CS_7120_5">'НИ ФЛ_'!#REF!</definedName>
    <definedName name="CS_7155_2">'НИ ФЛ_'!#REF!</definedName>
    <definedName name="CS_7155_3">'НИ ФЛ_'!#REF!</definedName>
    <definedName name="CS_7155_4">'НИ ФЛ_'!#REF!</definedName>
    <definedName name="CS_7155_5">'НИ ФЛ_'!#REF!</definedName>
    <definedName name="CS_7160_2">'НИ ФЛ_'!$F$5</definedName>
    <definedName name="CS_7160_3">'НИ ФЛ_'!$G$5</definedName>
    <definedName name="CS_7160_4">'НИ ФЛ_'!$H$5</definedName>
    <definedName name="CS_7160_5">'НИ ФЛ_'!$I$5</definedName>
    <definedName name="CS_7890_2">НИО!$D$133</definedName>
    <definedName name="CS_7890_3">НИО!$E$133</definedName>
    <definedName name="CS_7890_4">НИО!$F$133</definedName>
    <definedName name="CS_7890_5" localSheetId="4">НИО!#REF!</definedName>
    <definedName name="CS_7890_5" localSheetId="3">НИО!#REF!</definedName>
    <definedName name="CS_7890_5">НИО!#REF!</definedName>
    <definedName name="CS_7897_2">НИО!$D$135</definedName>
    <definedName name="CS_7897_3">НИО!$E$135</definedName>
    <definedName name="CS_7897_4">НИО!$F$135</definedName>
    <definedName name="CS_7897_5" localSheetId="4">НИО!#REF!</definedName>
    <definedName name="CS_7897_5" localSheetId="3">НИО!#REF!</definedName>
    <definedName name="CS_7897_5">НИО!#REF!</definedName>
    <definedName name="CS_7899_2">НИО!$D$136</definedName>
    <definedName name="CS_7899_3">НИО!$E$136</definedName>
    <definedName name="CS_7899_4">НИО!$F$136</definedName>
    <definedName name="CS_7899_5" localSheetId="4">НИО!#REF!</definedName>
    <definedName name="CS_7899_5" localSheetId="3">НИО!#REF!</definedName>
    <definedName name="CS_7899_5">НИО!#REF!</definedName>
    <definedName name="CS_8010_1" localSheetId="4">#REF!</definedName>
    <definedName name="CS_8010_1" localSheetId="7">ИБ!$D$6</definedName>
    <definedName name="CS_8010_1" localSheetId="3">#REF!</definedName>
    <definedName name="CS_8010_1">#REF!</definedName>
    <definedName name="CS_8010_10" localSheetId="4">#REF!</definedName>
    <definedName name="CS_8010_10" localSheetId="7">ИБ!$M$6</definedName>
    <definedName name="CS_8010_10" localSheetId="3">#REF!</definedName>
    <definedName name="CS_8010_10">#REF!</definedName>
    <definedName name="CS_8010_12" localSheetId="4">#REF!</definedName>
    <definedName name="CS_8010_12" localSheetId="7">ИБ!$O$6</definedName>
    <definedName name="CS_8010_12" localSheetId="3">#REF!</definedName>
    <definedName name="CS_8010_12">#REF!</definedName>
    <definedName name="CS_8010_13" localSheetId="4">#REF!</definedName>
    <definedName name="CS_8010_13" localSheetId="7">ИБ!$P$6</definedName>
    <definedName name="CS_8010_13" localSheetId="3">#REF!</definedName>
    <definedName name="CS_8010_13">#REF!</definedName>
    <definedName name="CS_8010_15" localSheetId="4">#REF!</definedName>
    <definedName name="CS_8010_15" localSheetId="7">ИБ!$R$6</definedName>
    <definedName name="CS_8010_15" localSheetId="3">#REF!</definedName>
    <definedName name="CS_8010_15">#REF!</definedName>
    <definedName name="CS_8010_16" localSheetId="4">#REF!</definedName>
    <definedName name="CS_8010_16" localSheetId="7">ИБ!$S$6</definedName>
    <definedName name="CS_8010_16" localSheetId="3">#REF!</definedName>
    <definedName name="CS_8010_16">#REF!</definedName>
    <definedName name="CS_8010_18" localSheetId="4">#REF!</definedName>
    <definedName name="CS_8010_18" localSheetId="7">ИБ!$U$6</definedName>
    <definedName name="CS_8010_18" localSheetId="3">#REF!</definedName>
    <definedName name="CS_8010_18">#REF!</definedName>
    <definedName name="CS_8010_19" localSheetId="4">#REF!</definedName>
    <definedName name="CS_8010_19" localSheetId="7">ИБ!#REF!</definedName>
    <definedName name="CS_8010_19" localSheetId="3">#REF!</definedName>
    <definedName name="CS_8010_19">#REF!</definedName>
    <definedName name="CS_8010_3" localSheetId="4">#REF!</definedName>
    <definedName name="CS_8010_3" localSheetId="7">ИБ!$F$6</definedName>
    <definedName name="CS_8010_3" localSheetId="3">#REF!</definedName>
    <definedName name="CS_8010_3">#REF!</definedName>
    <definedName name="CS_8010_4" localSheetId="4">#REF!</definedName>
    <definedName name="CS_8010_4" localSheetId="7">ИБ!$G$6</definedName>
    <definedName name="CS_8010_4" localSheetId="3">#REF!</definedName>
    <definedName name="CS_8010_4">#REF!</definedName>
    <definedName name="CS_8010_6" localSheetId="4">#REF!</definedName>
    <definedName name="CS_8010_6" localSheetId="7">ИБ!$I$6</definedName>
    <definedName name="CS_8010_6" localSheetId="3">#REF!</definedName>
    <definedName name="CS_8010_6">#REF!</definedName>
    <definedName name="CS_8010_7" localSheetId="4">#REF!</definedName>
    <definedName name="CS_8010_7" localSheetId="7">ИБ!$J$6</definedName>
    <definedName name="CS_8010_7" localSheetId="3">#REF!</definedName>
    <definedName name="CS_8010_7">#REF!</definedName>
    <definedName name="CS_8010_9" localSheetId="4">#REF!</definedName>
    <definedName name="CS_8010_9" localSheetId="7">ИБ!$L$6</definedName>
    <definedName name="CS_8010_9" localSheetId="3">#REF!</definedName>
    <definedName name="CS_8010_9">#REF!</definedName>
    <definedName name="CS_8011_1" localSheetId="4">#REF!</definedName>
    <definedName name="CS_8011_1" localSheetId="7">ИБ!$D$7</definedName>
    <definedName name="CS_8011_1" localSheetId="3">#REF!</definedName>
    <definedName name="CS_8011_1">#REF!</definedName>
    <definedName name="CS_8011_3" localSheetId="4">#REF!</definedName>
    <definedName name="CS_8011_3" localSheetId="7">ИБ!$F$7</definedName>
    <definedName name="CS_8011_3" localSheetId="3">#REF!</definedName>
    <definedName name="CS_8011_3">#REF!</definedName>
    <definedName name="CS_8020_1" localSheetId="4">#REF!</definedName>
    <definedName name="CS_8020_1" localSheetId="7">ИБ!$D$8</definedName>
    <definedName name="CS_8020_1" localSheetId="3">#REF!</definedName>
    <definedName name="CS_8020_1">#REF!</definedName>
    <definedName name="CS_8020_10" localSheetId="4">#REF!</definedName>
    <definedName name="CS_8020_10" localSheetId="7">ИБ!$M$8</definedName>
    <definedName name="CS_8020_10" localSheetId="3">#REF!</definedName>
    <definedName name="CS_8020_10">#REF!</definedName>
    <definedName name="CS_8020_12" localSheetId="4">#REF!</definedName>
    <definedName name="CS_8020_12" localSheetId="7">ИБ!$O$8</definedName>
    <definedName name="CS_8020_12" localSheetId="3">#REF!</definedName>
    <definedName name="CS_8020_12">#REF!</definedName>
    <definedName name="CS_8020_13" localSheetId="4">#REF!</definedName>
    <definedName name="CS_8020_13" localSheetId="7">ИБ!$P$8</definedName>
    <definedName name="CS_8020_13" localSheetId="3">#REF!</definedName>
    <definedName name="CS_8020_13">#REF!</definedName>
    <definedName name="CS_8020_15" localSheetId="4">#REF!</definedName>
    <definedName name="CS_8020_15" localSheetId="7">ИБ!$R$8</definedName>
    <definedName name="CS_8020_15" localSheetId="3">#REF!</definedName>
    <definedName name="CS_8020_15">#REF!</definedName>
    <definedName name="CS_8020_16" localSheetId="4">#REF!</definedName>
    <definedName name="CS_8020_16" localSheetId="7">ИБ!$S$8</definedName>
    <definedName name="CS_8020_16" localSheetId="3">#REF!</definedName>
    <definedName name="CS_8020_16">#REF!</definedName>
    <definedName name="CS_8020_18" localSheetId="4">#REF!</definedName>
    <definedName name="CS_8020_18" localSheetId="7">ИБ!$U$8</definedName>
    <definedName name="CS_8020_18" localSheetId="3">#REF!</definedName>
    <definedName name="CS_8020_18">#REF!</definedName>
    <definedName name="CS_8020_19" localSheetId="4">#REF!</definedName>
    <definedName name="CS_8020_19" localSheetId="7">ИБ!#REF!</definedName>
    <definedName name="CS_8020_19" localSheetId="3">#REF!</definedName>
    <definedName name="CS_8020_19">#REF!</definedName>
    <definedName name="CS_8020_3" localSheetId="4">#REF!</definedName>
    <definedName name="CS_8020_3" localSheetId="7">ИБ!$F$8</definedName>
    <definedName name="CS_8020_3" localSheetId="3">#REF!</definedName>
    <definedName name="CS_8020_3">#REF!</definedName>
    <definedName name="CS_8020_4" localSheetId="4">#REF!</definedName>
    <definedName name="CS_8020_4" localSheetId="7">ИБ!$G$8</definedName>
    <definedName name="CS_8020_4" localSheetId="3">#REF!</definedName>
    <definedName name="CS_8020_4">#REF!</definedName>
    <definedName name="CS_8020_6" localSheetId="4">#REF!</definedName>
    <definedName name="CS_8020_6" localSheetId="7">ИБ!$I$8</definedName>
    <definedName name="CS_8020_6" localSheetId="3">#REF!</definedName>
    <definedName name="CS_8020_6">#REF!</definedName>
    <definedName name="CS_8020_7" localSheetId="4">#REF!</definedName>
    <definedName name="CS_8020_7" localSheetId="7">ИБ!$J$8</definedName>
    <definedName name="CS_8020_7" localSheetId="3">#REF!</definedName>
    <definedName name="CS_8020_7">#REF!</definedName>
    <definedName name="CS_8020_9" localSheetId="4">#REF!</definedName>
    <definedName name="CS_8020_9" localSheetId="7">ИБ!$L$8</definedName>
    <definedName name="CS_8020_9" localSheetId="3">#REF!</definedName>
    <definedName name="CS_8020_9">#REF!</definedName>
    <definedName name="CS_8021_1" localSheetId="4">#REF!</definedName>
    <definedName name="CS_8021_1" localSheetId="7">ИБ!$D$9</definedName>
    <definedName name="CS_8021_1" localSheetId="3">#REF!</definedName>
    <definedName name="CS_8021_1">#REF!</definedName>
    <definedName name="CS_8021_3" localSheetId="4">#REF!</definedName>
    <definedName name="CS_8021_3" localSheetId="7">ИБ!$F$9</definedName>
    <definedName name="CS_8021_3" localSheetId="3">#REF!</definedName>
    <definedName name="CS_8021_3">#REF!</definedName>
    <definedName name="CS_8030_1" localSheetId="4">#REF!</definedName>
    <definedName name="CS_8030_1" localSheetId="7">ИБ!$D$10</definedName>
    <definedName name="CS_8030_1" localSheetId="3">#REF!</definedName>
    <definedName name="CS_8030_1">#REF!</definedName>
    <definedName name="CS_8030_10" localSheetId="4">#REF!</definedName>
    <definedName name="CS_8030_10" localSheetId="7">ИБ!$M$10</definedName>
    <definedName name="CS_8030_10" localSheetId="3">#REF!</definedName>
    <definedName name="CS_8030_10">#REF!</definedName>
    <definedName name="CS_8030_12" localSheetId="4">#REF!</definedName>
    <definedName name="CS_8030_12" localSheetId="7">ИБ!$O$10</definedName>
    <definedName name="CS_8030_12" localSheetId="3">#REF!</definedName>
    <definedName name="CS_8030_12">#REF!</definedName>
    <definedName name="CS_8030_13" localSheetId="4">#REF!</definedName>
    <definedName name="CS_8030_13" localSheetId="7">ИБ!$P$10</definedName>
    <definedName name="CS_8030_13" localSheetId="3">#REF!</definedName>
    <definedName name="CS_8030_13">#REF!</definedName>
    <definedName name="CS_8030_15" localSheetId="4">#REF!</definedName>
    <definedName name="CS_8030_15" localSheetId="7">ИБ!$R$10</definedName>
    <definedName name="CS_8030_15" localSheetId="3">#REF!</definedName>
    <definedName name="CS_8030_15">#REF!</definedName>
    <definedName name="CS_8030_16" localSheetId="4">#REF!</definedName>
    <definedName name="CS_8030_16" localSheetId="7">ИБ!$S$10</definedName>
    <definedName name="CS_8030_16" localSheetId="3">#REF!</definedName>
    <definedName name="CS_8030_16">#REF!</definedName>
    <definedName name="CS_8030_18" localSheetId="4">#REF!</definedName>
    <definedName name="CS_8030_18" localSheetId="7">ИБ!$U$10</definedName>
    <definedName name="CS_8030_18" localSheetId="3">#REF!</definedName>
    <definedName name="CS_8030_18">#REF!</definedName>
    <definedName name="CS_8030_19" localSheetId="4">#REF!</definedName>
    <definedName name="CS_8030_19" localSheetId="7">ИБ!#REF!</definedName>
    <definedName name="CS_8030_19" localSheetId="3">#REF!</definedName>
    <definedName name="CS_8030_19">#REF!</definedName>
    <definedName name="CS_8030_3" localSheetId="4">#REF!</definedName>
    <definedName name="CS_8030_3" localSheetId="7">ИБ!$F$10</definedName>
    <definedName name="CS_8030_3" localSheetId="3">#REF!</definedName>
    <definedName name="CS_8030_3">#REF!</definedName>
    <definedName name="CS_8030_4" localSheetId="4">#REF!</definedName>
    <definedName name="CS_8030_4" localSheetId="7">ИБ!$G$10</definedName>
    <definedName name="CS_8030_4" localSheetId="3">#REF!</definedName>
    <definedName name="CS_8030_4">#REF!</definedName>
    <definedName name="CS_8030_6" localSheetId="4">#REF!</definedName>
    <definedName name="CS_8030_6" localSheetId="7">ИБ!$I$10</definedName>
    <definedName name="CS_8030_6" localSheetId="3">#REF!</definedName>
    <definedName name="CS_8030_6">#REF!</definedName>
    <definedName name="CS_8030_7" localSheetId="4">#REF!</definedName>
    <definedName name="CS_8030_7" localSheetId="7">ИБ!$J$10</definedName>
    <definedName name="CS_8030_7" localSheetId="3">#REF!</definedName>
    <definedName name="CS_8030_7">#REF!</definedName>
    <definedName name="CS_8030_9" localSheetId="4">#REF!</definedName>
    <definedName name="CS_8030_9" localSheetId="7">ИБ!$L$10</definedName>
    <definedName name="CS_8030_9" localSheetId="3">#REF!</definedName>
    <definedName name="CS_8030_9">#REF!</definedName>
    <definedName name="CS_8031_1" localSheetId="4">#REF!</definedName>
    <definedName name="CS_8031_1" localSheetId="7">ИБ!$D$11</definedName>
    <definedName name="CS_8031_1" localSheetId="3">#REF!</definedName>
    <definedName name="CS_8031_1">#REF!</definedName>
    <definedName name="CS_8031_3" localSheetId="4">#REF!</definedName>
    <definedName name="CS_8031_3" localSheetId="7">ИБ!$F$11</definedName>
    <definedName name="CS_8031_3" localSheetId="3">#REF!</definedName>
    <definedName name="CS_8031_3">#REF!</definedName>
    <definedName name="CS_8040_1" localSheetId="4">#REF!</definedName>
    <definedName name="CS_8040_1" localSheetId="7">ИБ!$D$12</definedName>
    <definedName name="CS_8040_1" localSheetId="3">#REF!</definedName>
    <definedName name="CS_8040_1">#REF!</definedName>
    <definedName name="CS_8040_10" localSheetId="4">#REF!</definedName>
    <definedName name="CS_8040_10" localSheetId="7">ИБ!$M$12</definedName>
    <definedName name="CS_8040_10" localSheetId="3">#REF!</definedName>
    <definedName name="CS_8040_10">#REF!</definedName>
    <definedName name="CS_8040_12" localSheetId="4">#REF!</definedName>
    <definedName name="CS_8040_12" localSheetId="7">ИБ!$O$12</definedName>
    <definedName name="CS_8040_12" localSheetId="3">#REF!</definedName>
    <definedName name="CS_8040_12">#REF!</definedName>
    <definedName name="CS_8040_13" localSheetId="4">#REF!</definedName>
    <definedName name="CS_8040_13" localSheetId="7">ИБ!$P$12</definedName>
    <definedName name="CS_8040_13" localSheetId="3">#REF!</definedName>
    <definedName name="CS_8040_13">#REF!</definedName>
    <definedName name="CS_8040_15" localSheetId="4">#REF!</definedName>
    <definedName name="CS_8040_15" localSheetId="7">ИБ!$R$12</definedName>
    <definedName name="CS_8040_15" localSheetId="3">#REF!</definedName>
    <definedName name="CS_8040_15">#REF!</definedName>
    <definedName name="CS_8040_16" localSheetId="4">#REF!</definedName>
    <definedName name="CS_8040_16" localSheetId="7">ИБ!$S$12</definedName>
    <definedName name="CS_8040_16" localSheetId="3">#REF!</definedName>
    <definedName name="CS_8040_16">#REF!</definedName>
    <definedName name="CS_8040_18" localSheetId="4">#REF!</definedName>
    <definedName name="CS_8040_18" localSheetId="7">ИБ!$U$12</definedName>
    <definedName name="CS_8040_18" localSheetId="3">#REF!</definedName>
    <definedName name="CS_8040_18">#REF!</definedName>
    <definedName name="CS_8040_19" localSheetId="4">#REF!</definedName>
    <definedName name="CS_8040_19" localSheetId="7">ИБ!#REF!</definedName>
    <definedName name="CS_8040_19" localSheetId="3">#REF!</definedName>
    <definedName name="CS_8040_19">#REF!</definedName>
    <definedName name="CS_8040_3" localSheetId="4">#REF!</definedName>
    <definedName name="CS_8040_3" localSheetId="7">ИБ!$F$12</definedName>
    <definedName name="CS_8040_3" localSheetId="3">#REF!</definedName>
    <definedName name="CS_8040_3">#REF!</definedName>
    <definedName name="CS_8040_4" localSheetId="4">#REF!</definedName>
    <definedName name="CS_8040_4" localSheetId="7">ИБ!$G$12</definedName>
    <definedName name="CS_8040_4" localSheetId="3">#REF!</definedName>
    <definedName name="CS_8040_4">#REF!</definedName>
    <definedName name="CS_8040_6" localSheetId="4">#REF!</definedName>
    <definedName name="CS_8040_6" localSheetId="7">ИБ!$I$12</definedName>
    <definedName name="CS_8040_6" localSheetId="3">#REF!</definedName>
    <definedName name="CS_8040_6">#REF!</definedName>
    <definedName name="CS_8040_7" localSheetId="4">#REF!</definedName>
    <definedName name="CS_8040_7" localSheetId="7">ИБ!$J$12</definedName>
    <definedName name="CS_8040_7" localSheetId="3">#REF!</definedName>
    <definedName name="CS_8040_7">#REF!</definedName>
    <definedName name="CS_8040_9" localSheetId="4">#REF!</definedName>
    <definedName name="CS_8040_9" localSheetId="7">ИБ!$L$12</definedName>
    <definedName name="CS_8040_9" localSheetId="3">#REF!</definedName>
    <definedName name="CS_8040_9">#REF!</definedName>
    <definedName name="CS_8041_1" localSheetId="4">#REF!</definedName>
    <definedName name="CS_8041_1" localSheetId="7">ИБ!$D$13</definedName>
    <definedName name="CS_8041_1" localSheetId="3">#REF!</definedName>
    <definedName name="CS_8041_1">#REF!</definedName>
    <definedName name="CS_8041_3" localSheetId="4">#REF!</definedName>
    <definedName name="CS_8041_3" localSheetId="7">ИБ!$F$13</definedName>
    <definedName name="CS_8041_3" localSheetId="3">#REF!</definedName>
    <definedName name="CS_8041_3">#REF!</definedName>
    <definedName name="CS_8050_1" localSheetId="4">#REF!</definedName>
    <definedName name="CS_8050_1" localSheetId="7">ИБ!$D$14</definedName>
    <definedName name="CS_8050_1" localSheetId="3">#REF!</definedName>
    <definedName name="CS_8050_1">#REF!</definedName>
    <definedName name="CS_8050_10" localSheetId="4">#REF!</definedName>
    <definedName name="CS_8050_10" localSheetId="7">ИБ!$M$14</definedName>
    <definedName name="CS_8050_10" localSheetId="3">#REF!</definedName>
    <definedName name="CS_8050_10">#REF!</definedName>
    <definedName name="CS_8050_12" localSheetId="4">#REF!</definedName>
    <definedName name="CS_8050_12" localSheetId="7">ИБ!$O$14</definedName>
    <definedName name="CS_8050_12" localSheetId="3">#REF!</definedName>
    <definedName name="CS_8050_12">#REF!</definedName>
    <definedName name="CS_8050_13" localSheetId="4">#REF!</definedName>
    <definedName name="CS_8050_13" localSheetId="7">ИБ!$P$14</definedName>
    <definedName name="CS_8050_13" localSheetId="3">#REF!</definedName>
    <definedName name="CS_8050_13">#REF!</definedName>
    <definedName name="CS_8050_15" localSheetId="4">#REF!</definedName>
    <definedName name="CS_8050_15" localSheetId="7">ИБ!$R$14</definedName>
    <definedName name="CS_8050_15" localSheetId="3">#REF!</definedName>
    <definedName name="CS_8050_15">#REF!</definedName>
    <definedName name="CS_8050_16" localSheetId="4">#REF!</definedName>
    <definedName name="CS_8050_16" localSheetId="7">ИБ!$S$14</definedName>
    <definedName name="CS_8050_16" localSheetId="3">#REF!</definedName>
    <definedName name="CS_8050_16">#REF!</definedName>
    <definedName name="CS_8050_18" localSheetId="4">#REF!</definedName>
    <definedName name="CS_8050_18" localSheetId="7">ИБ!$U$14</definedName>
    <definedName name="CS_8050_18" localSheetId="3">#REF!</definedName>
    <definedName name="CS_8050_18">#REF!</definedName>
    <definedName name="CS_8050_19" localSheetId="4">#REF!</definedName>
    <definedName name="CS_8050_19" localSheetId="7">ИБ!#REF!</definedName>
    <definedName name="CS_8050_19" localSheetId="3">#REF!</definedName>
    <definedName name="CS_8050_19">#REF!</definedName>
    <definedName name="CS_8050_3" localSheetId="4">#REF!</definedName>
    <definedName name="CS_8050_3" localSheetId="7">ИБ!$F$14</definedName>
    <definedName name="CS_8050_3" localSheetId="3">#REF!</definedName>
    <definedName name="CS_8050_3">#REF!</definedName>
    <definedName name="CS_8050_4" localSheetId="4">#REF!</definedName>
    <definedName name="CS_8050_4" localSheetId="7">ИБ!$G$14</definedName>
    <definedName name="CS_8050_4" localSheetId="3">#REF!</definedName>
    <definedName name="CS_8050_4">#REF!</definedName>
    <definedName name="CS_8050_6" localSheetId="4">#REF!</definedName>
    <definedName name="CS_8050_6" localSheetId="7">ИБ!$I$14</definedName>
    <definedName name="CS_8050_6" localSheetId="3">#REF!</definedName>
    <definedName name="CS_8050_6">#REF!</definedName>
    <definedName name="CS_8050_7" localSheetId="4">#REF!</definedName>
    <definedName name="CS_8050_7" localSheetId="7">ИБ!$J$14</definedName>
    <definedName name="CS_8050_7" localSheetId="3">#REF!</definedName>
    <definedName name="CS_8050_7">#REF!</definedName>
    <definedName name="CS_8050_9" localSheetId="4">#REF!</definedName>
    <definedName name="CS_8050_9" localSheetId="7">ИБ!$L$14</definedName>
    <definedName name="CS_8050_9" localSheetId="3">#REF!</definedName>
    <definedName name="CS_8050_9">#REF!</definedName>
    <definedName name="CS_8051_1" localSheetId="4">#REF!</definedName>
    <definedName name="CS_8051_1" localSheetId="7">ИБ!$D$15</definedName>
    <definedName name="CS_8051_1" localSheetId="3">#REF!</definedName>
    <definedName name="CS_8051_1">#REF!</definedName>
    <definedName name="CS_8051_3" localSheetId="4">#REF!</definedName>
    <definedName name="CS_8051_3" localSheetId="7">ИБ!$F$15</definedName>
    <definedName name="CS_8051_3" localSheetId="3">#REF!</definedName>
    <definedName name="CS_8051_3">#REF!</definedName>
    <definedName name="CS_8060_1" localSheetId="4">#REF!</definedName>
    <definedName name="CS_8060_1" localSheetId="7">ИБ!$D$16</definedName>
    <definedName name="CS_8060_1" localSheetId="3">#REF!</definedName>
    <definedName name="CS_8060_1">#REF!</definedName>
    <definedName name="CS_8060_10" localSheetId="4">#REF!</definedName>
    <definedName name="CS_8060_10" localSheetId="7">ИБ!$M$16</definedName>
    <definedName name="CS_8060_10" localSheetId="3">#REF!</definedName>
    <definedName name="CS_8060_10">#REF!</definedName>
    <definedName name="CS_8060_12" localSheetId="4">#REF!</definedName>
    <definedName name="CS_8060_12" localSheetId="7">ИБ!$O$16</definedName>
    <definedName name="CS_8060_12" localSheetId="3">#REF!</definedName>
    <definedName name="CS_8060_12">#REF!</definedName>
    <definedName name="CS_8060_13" localSheetId="4">#REF!</definedName>
    <definedName name="CS_8060_13" localSheetId="7">ИБ!$P$16</definedName>
    <definedName name="CS_8060_13" localSheetId="3">#REF!</definedName>
    <definedName name="CS_8060_13">#REF!</definedName>
    <definedName name="CS_8060_15" localSheetId="4">#REF!</definedName>
    <definedName name="CS_8060_15" localSheetId="7">ИБ!$R$16</definedName>
    <definedName name="CS_8060_15" localSheetId="3">#REF!</definedName>
    <definedName name="CS_8060_15">#REF!</definedName>
    <definedName name="CS_8060_16" localSheetId="4">#REF!</definedName>
    <definedName name="CS_8060_16" localSheetId="7">ИБ!$S$16</definedName>
    <definedName name="CS_8060_16" localSheetId="3">#REF!</definedName>
    <definedName name="CS_8060_16">#REF!</definedName>
    <definedName name="CS_8060_18" localSheetId="4">#REF!</definedName>
    <definedName name="CS_8060_18" localSheetId="7">ИБ!$U$16</definedName>
    <definedName name="CS_8060_18" localSheetId="3">#REF!</definedName>
    <definedName name="CS_8060_18">#REF!</definedName>
    <definedName name="CS_8060_19" localSheetId="4">#REF!</definedName>
    <definedName name="CS_8060_19" localSheetId="7">ИБ!#REF!</definedName>
    <definedName name="CS_8060_19" localSheetId="3">#REF!</definedName>
    <definedName name="CS_8060_19">#REF!</definedName>
    <definedName name="CS_8060_3" localSheetId="4">#REF!</definedName>
    <definedName name="CS_8060_3" localSheetId="7">ИБ!$F$16</definedName>
    <definedName name="CS_8060_3" localSheetId="3">#REF!</definedName>
    <definedName name="CS_8060_3">#REF!</definedName>
    <definedName name="CS_8060_4" localSheetId="4">#REF!</definedName>
    <definedName name="CS_8060_4" localSheetId="7">ИБ!$G$16</definedName>
    <definedName name="CS_8060_4" localSheetId="3">#REF!</definedName>
    <definedName name="CS_8060_4">#REF!</definedName>
    <definedName name="CS_8060_6" localSheetId="4">#REF!</definedName>
    <definedName name="CS_8060_6" localSheetId="7">ИБ!$I$16</definedName>
    <definedName name="CS_8060_6" localSheetId="3">#REF!</definedName>
    <definedName name="CS_8060_6">#REF!</definedName>
    <definedName name="CS_8060_7" localSheetId="4">#REF!</definedName>
    <definedName name="CS_8060_7" localSheetId="7">ИБ!$J$16</definedName>
    <definedName name="CS_8060_7" localSheetId="3">#REF!</definedName>
    <definedName name="CS_8060_7">#REF!</definedName>
    <definedName name="CS_8060_9" localSheetId="4">#REF!</definedName>
    <definedName name="CS_8060_9" localSheetId="7">ИБ!$L$16</definedName>
    <definedName name="CS_8060_9" localSheetId="3">#REF!</definedName>
    <definedName name="CS_8060_9">#REF!</definedName>
    <definedName name="CS_8061_1" localSheetId="4">#REF!</definedName>
    <definedName name="CS_8061_1" localSheetId="7">ИБ!$D$17</definedName>
    <definedName name="CS_8061_1" localSheetId="3">#REF!</definedName>
    <definedName name="CS_8061_1">#REF!</definedName>
    <definedName name="CS_8061_3" localSheetId="4">#REF!</definedName>
    <definedName name="CS_8061_3" localSheetId="7">ИБ!$F$17</definedName>
    <definedName name="CS_8061_3" localSheetId="3">#REF!</definedName>
    <definedName name="CS_8061_3">#REF!</definedName>
    <definedName name="CS_8070_1" localSheetId="4">#REF!</definedName>
    <definedName name="CS_8070_1" localSheetId="7">ИБ!$D$18</definedName>
    <definedName name="CS_8070_1" localSheetId="3">#REF!</definedName>
    <definedName name="CS_8070_1">#REF!</definedName>
    <definedName name="CS_8070_10" localSheetId="4">#REF!</definedName>
    <definedName name="CS_8070_10" localSheetId="7">ИБ!$M$18</definedName>
    <definedName name="CS_8070_10" localSheetId="3">#REF!</definedName>
    <definedName name="CS_8070_10">#REF!</definedName>
    <definedName name="CS_8070_12" localSheetId="4">#REF!</definedName>
    <definedName name="CS_8070_12" localSheetId="7">ИБ!$O$18</definedName>
    <definedName name="CS_8070_12" localSheetId="3">#REF!</definedName>
    <definedName name="CS_8070_12">#REF!</definedName>
    <definedName name="CS_8070_13" localSheetId="4">#REF!</definedName>
    <definedName name="CS_8070_13" localSheetId="7">ИБ!$P$18</definedName>
    <definedName name="CS_8070_13" localSheetId="3">#REF!</definedName>
    <definedName name="CS_8070_13">#REF!</definedName>
    <definedName name="CS_8070_15" localSheetId="4">#REF!</definedName>
    <definedName name="CS_8070_15" localSheetId="7">ИБ!$R$18</definedName>
    <definedName name="CS_8070_15" localSheetId="3">#REF!</definedName>
    <definedName name="CS_8070_15">#REF!</definedName>
    <definedName name="CS_8070_16" localSheetId="4">#REF!</definedName>
    <definedName name="CS_8070_16" localSheetId="7">ИБ!$S$18</definedName>
    <definedName name="CS_8070_16" localSheetId="3">#REF!</definedName>
    <definedName name="CS_8070_16">#REF!</definedName>
    <definedName name="CS_8070_18" localSheetId="4">#REF!</definedName>
    <definedName name="CS_8070_18" localSheetId="7">ИБ!$U$18</definedName>
    <definedName name="CS_8070_18" localSheetId="3">#REF!</definedName>
    <definedName name="CS_8070_18">#REF!</definedName>
    <definedName name="CS_8070_19" localSheetId="4">#REF!</definedName>
    <definedName name="CS_8070_19" localSheetId="7">ИБ!#REF!</definedName>
    <definedName name="CS_8070_19" localSheetId="3">#REF!</definedName>
    <definedName name="CS_8070_19">#REF!</definedName>
    <definedName name="CS_8070_3" localSheetId="4">#REF!</definedName>
    <definedName name="CS_8070_3" localSheetId="7">ИБ!$F$18</definedName>
    <definedName name="CS_8070_3" localSheetId="3">#REF!</definedName>
    <definedName name="CS_8070_3">#REF!</definedName>
    <definedName name="CS_8070_4" localSheetId="4">#REF!</definedName>
    <definedName name="CS_8070_4" localSheetId="7">ИБ!$G$18</definedName>
    <definedName name="CS_8070_4" localSheetId="3">#REF!</definedName>
    <definedName name="CS_8070_4">#REF!</definedName>
    <definedName name="CS_8070_6" localSheetId="4">#REF!</definedName>
    <definedName name="CS_8070_6" localSheetId="7">ИБ!$I$18</definedName>
    <definedName name="CS_8070_6" localSheetId="3">#REF!</definedName>
    <definedName name="CS_8070_6">#REF!</definedName>
    <definedName name="CS_8070_7" localSheetId="4">#REF!</definedName>
    <definedName name="CS_8070_7" localSheetId="7">ИБ!$J$18</definedName>
    <definedName name="CS_8070_7" localSheetId="3">#REF!</definedName>
    <definedName name="CS_8070_7">#REF!</definedName>
    <definedName name="CS_8070_9" localSheetId="4">#REF!</definedName>
    <definedName name="CS_8070_9" localSheetId="7">ИБ!$L$18</definedName>
    <definedName name="CS_8070_9" localSheetId="3">#REF!</definedName>
    <definedName name="CS_8070_9">#REF!</definedName>
    <definedName name="CS_8071_1" localSheetId="4">#REF!</definedName>
    <definedName name="CS_8071_1" localSheetId="7">ИБ!$D$19</definedName>
    <definedName name="CS_8071_1" localSheetId="3">#REF!</definedName>
    <definedName name="CS_8071_1">#REF!</definedName>
    <definedName name="CS_8071_3" localSheetId="4">#REF!</definedName>
    <definedName name="CS_8071_3" localSheetId="7">ИБ!$F$19</definedName>
    <definedName name="CS_8071_3" localSheetId="3">#REF!</definedName>
    <definedName name="CS_8071_3">#REF!</definedName>
    <definedName name="CS_8080_1" localSheetId="4">#REF!</definedName>
    <definedName name="CS_8080_1" localSheetId="7">ИБ!$D$20</definedName>
    <definedName name="CS_8080_1" localSheetId="3">#REF!</definedName>
    <definedName name="CS_8080_1">#REF!</definedName>
    <definedName name="CS_8080_10" localSheetId="4">#REF!</definedName>
    <definedName name="CS_8080_10" localSheetId="7">ИБ!$M$20</definedName>
    <definedName name="CS_8080_10" localSheetId="3">#REF!</definedName>
    <definedName name="CS_8080_10">#REF!</definedName>
    <definedName name="CS_8080_12" localSheetId="4">#REF!</definedName>
    <definedName name="CS_8080_12" localSheetId="7">ИБ!$O$20</definedName>
    <definedName name="CS_8080_12" localSheetId="3">#REF!</definedName>
    <definedName name="CS_8080_12">#REF!</definedName>
    <definedName name="CS_8080_13" localSheetId="4">#REF!</definedName>
    <definedName name="CS_8080_13" localSheetId="7">ИБ!$P$20</definedName>
    <definedName name="CS_8080_13" localSheetId="3">#REF!</definedName>
    <definedName name="CS_8080_13">#REF!</definedName>
    <definedName name="CS_8080_15" localSheetId="4">#REF!</definedName>
    <definedName name="CS_8080_15" localSheetId="7">ИБ!$R$20</definedName>
    <definedName name="CS_8080_15" localSheetId="3">#REF!</definedName>
    <definedName name="CS_8080_15">#REF!</definedName>
    <definedName name="CS_8080_16" localSheetId="4">#REF!</definedName>
    <definedName name="CS_8080_16" localSheetId="7">ИБ!$S$20</definedName>
    <definedName name="CS_8080_16" localSheetId="3">#REF!</definedName>
    <definedName name="CS_8080_16">#REF!</definedName>
    <definedName name="CS_8080_18" localSheetId="4">#REF!</definedName>
    <definedName name="CS_8080_18" localSheetId="7">ИБ!$U$20</definedName>
    <definedName name="CS_8080_18" localSheetId="3">#REF!</definedName>
    <definedName name="CS_8080_18">#REF!</definedName>
    <definedName name="CS_8080_19" localSheetId="4">#REF!</definedName>
    <definedName name="CS_8080_19" localSheetId="7">ИБ!#REF!</definedName>
    <definedName name="CS_8080_19" localSheetId="3">#REF!</definedName>
    <definedName name="CS_8080_19">#REF!</definedName>
    <definedName name="CS_8080_3" localSheetId="4">#REF!</definedName>
    <definedName name="CS_8080_3" localSheetId="7">ИБ!$F$20</definedName>
    <definedName name="CS_8080_3" localSheetId="3">#REF!</definedName>
    <definedName name="CS_8080_3">#REF!</definedName>
    <definedName name="CS_8080_4" localSheetId="4">#REF!</definedName>
    <definedName name="CS_8080_4" localSheetId="7">ИБ!$G$20</definedName>
    <definedName name="CS_8080_4" localSheetId="3">#REF!</definedName>
    <definedName name="CS_8080_4">#REF!</definedName>
    <definedName name="CS_8080_6" localSheetId="4">#REF!</definedName>
    <definedName name="CS_8080_6" localSheetId="7">ИБ!$I$20</definedName>
    <definedName name="CS_8080_6" localSheetId="3">#REF!</definedName>
    <definedName name="CS_8080_6">#REF!</definedName>
    <definedName name="CS_8080_7" localSheetId="4">#REF!</definedName>
    <definedName name="CS_8080_7" localSheetId="7">ИБ!$J$20</definedName>
    <definedName name="CS_8080_7" localSheetId="3">#REF!</definedName>
    <definedName name="CS_8080_7">#REF!</definedName>
    <definedName name="CS_8080_9" localSheetId="4">#REF!</definedName>
    <definedName name="CS_8080_9" localSheetId="7">ИБ!$L$20</definedName>
    <definedName name="CS_8080_9" localSheetId="3">#REF!</definedName>
    <definedName name="CS_8080_9">#REF!</definedName>
    <definedName name="CS_8081_1" localSheetId="4">#REF!</definedName>
    <definedName name="CS_8081_1" localSheetId="7">ИБ!$D$21</definedName>
    <definedName name="CS_8081_1" localSheetId="3">#REF!</definedName>
    <definedName name="CS_8081_1">#REF!</definedName>
    <definedName name="CS_8081_3" localSheetId="4">#REF!</definedName>
    <definedName name="CS_8081_3" localSheetId="7">ИБ!$F$21</definedName>
    <definedName name="CS_8081_3" localSheetId="3">#REF!</definedName>
    <definedName name="CS_8081_3">#REF!</definedName>
    <definedName name="CS_8200_12" localSheetId="4">#REF!</definedName>
    <definedName name="CS_8200_12" localSheetId="7">ИБ!$O$23</definedName>
    <definedName name="CS_8200_12" localSheetId="3">#REF!</definedName>
    <definedName name="CS_8200_12">#REF!</definedName>
    <definedName name="CS_8200_15" localSheetId="4">#REF!</definedName>
    <definedName name="CS_8200_15" localSheetId="7">ИБ!$R$23</definedName>
    <definedName name="CS_8200_15" localSheetId="3">#REF!</definedName>
    <definedName name="CS_8200_15">#REF!</definedName>
    <definedName name="CS_8200_18" localSheetId="4">#REF!</definedName>
    <definedName name="CS_8200_18" localSheetId="7">ИБ!$U$23</definedName>
    <definedName name="CS_8200_18" localSheetId="3">#REF!</definedName>
    <definedName name="CS_8200_18">#REF!</definedName>
    <definedName name="CS_8200_9" localSheetId="4">#REF!</definedName>
    <definedName name="CS_8200_9" localSheetId="7">ИБ!$L$23</definedName>
    <definedName name="CS_8200_9" localSheetId="3">#REF!</definedName>
    <definedName name="CS_8200_9">#REF!</definedName>
    <definedName name="CS_8300_12">ИБ!$O$24</definedName>
    <definedName name="CS_8300_15">ИБ!$R$24</definedName>
    <definedName name="CS_8300_18">ИБ!$U$24</definedName>
    <definedName name="CS_8300_3" localSheetId="4">#REF!</definedName>
    <definedName name="CS_8300_3" localSheetId="7">ИБ!$F$24</definedName>
    <definedName name="CS_8300_3" localSheetId="3">#REF!</definedName>
    <definedName name="CS_8300_3">#REF!</definedName>
    <definedName name="CS_8300_6" localSheetId="4">#REF!</definedName>
    <definedName name="CS_8300_6" localSheetId="7">ИБ!$I$24</definedName>
    <definedName name="CS_8300_6" localSheetId="3">#REF!</definedName>
    <definedName name="CS_8300_6">#REF!</definedName>
    <definedName name="CS_8300_9">ИБ!$L$24</definedName>
    <definedName name="cwb" localSheetId="4">#REF!</definedName>
    <definedName name="cwb" localSheetId="3">#REF!</definedName>
    <definedName name="cwb">#REF!</definedName>
    <definedName name="denm" localSheetId="4">#REF!</definedName>
    <definedName name="denm" localSheetId="3">#REF!</definedName>
    <definedName name="denm">#REF!</definedName>
    <definedName name="DOLL" localSheetId="4">#REF!</definedName>
    <definedName name="DOLL" localSheetId="3">#REF!</definedName>
    <definedName name="DOLL">#REF!</definedName>
    <definedName name="edc" localSheetId="4">#REF!</definedName>
    <definedName name="edc" localSheetId="3">#REF!</definedName>
    <definedName name="edc">#REF!</definedName>
    <definedName name="exim" localSheetId="4">#REF!</definedName>
    <definedName name="exim" localSheetId="3">#REF!</definedName>
    <definedName name="exim">#REF!</definedName>
    <definedName name="finl" localSheetId="4">#REF!</definedName>
    <definedName name="finl" localSheetId="3">#REF!</definedName>
    <definedName name="finl">#REF!</definedName>
    <definedName name="fran" localSheetId="4">#REF!</definedName>
    <definedName name="fran" localSheetId="3">#REF!</definedName>
    <definedName name="fran">#REF!</definedName>
    <definedName name="germ" localSheetId="4">#REF!</definedName>
    <definedName name="germ" localSheetId="3">#REF!</definedName>
    <definedName name="germ">#REF!</definedName>
    <definedName name="in">[0]!in</definedName>
    <definedName name="infi">[0]!infi</definedName>
    <definedName name="infl">[0]!infl</definedName>
    <definedName name="intthr">[0]!intthr</definedName>
    <definedName name="LIBOR" localSheetId="4">#REF!</definedName>
    <definedName name="LIBOR" localSheetId="3">#REF!</definedName>
    <definedName name="LIBOR">#REF!</definedName>
    <definedName name="longer">[0]!longer</definedName>
    <definedName name="miti" localSheetId="4">#REF!</definedName>
    <definedName name="miti" localSheetId="3">#REF!</definedName>
    <definedName name="miti">#REF!</definedName>
    <definedName name="neth" localSheetId="4">#REF!</definedName>
    <definedName name="neth" localSheetId="3">#REF!</definedName>
    <definedName name="neth">#REF!</definedName>
    <definedName name="Norw" localSheetId="4">#REF!</definedName>
    <definedName name="Norw" localSheetId="3">#REF!</definedName>
    <definedName name="Norw">#REF!</definedName>
    <definedName name="p_report_month" localSheetId="7">'[3]Титульный лист'!$B$1</definedName>
    <definedName name="p_report_month">'[4]Титульный лист'!$B$1</definedName>
    <definedName name="p_report_year" localSheetId="7">'[3]Титульный лист'!$B$2</definedName>
    <definedName name="p_report_year">'[4]Титульный лист'!$B$2</definedName>
    <definedName name="PeriodLastYearName">[1]ФедД!$AH$20</definedName>
    <definedName name="PeriodThisYearName">[1]ФедД!$AG$20</definedName>
    <definedName name="port" localSheetId="4">#REF!</definedName>
    <definedName name="port" localSheetId="3">#REF!</definedName>
    <definedName name="port">#REF!</definedName>
    <definedName name="sace" localSheetId="4">#REF!</definedName>
    <definedName name="sace" localSheetId="3">#REF!</definedName>
    <definedName name="sace">#REF!</definedName>
    <definedName name="same">[0]!same</definedName>
    <definedName name="same1">[0]!same1</definedName>
    <definedName name="short">[0]!short</definedName>
    <definedName name="spai" localSheetId="4">#REF!</definedName>
    <definedName name="spai" localSheetId="3">#REF!</definedName>
    <definedName name="spai">#REF!</definedName>
    <definedName name="swed" localSheetId="4">#REF!</definedName>
    <definedName name="swed" localSheetId="3">#REF!</definedName>
    <definedName name="swed">#REF!</definedName>
    <definedName name="swit" localSheetId="4">#REF!</definedName>
    <definedName name="swit" localSheetId="3">#REF!</definedName>
    <definedName name="swit">#REF!</definedName>
    <definedName name="Thr">[0]!Thr</definedName>
    <definedName name="time" localSheetId="4">#REF!</definedName>
    <definedName name="time" localSheetId="3">#REF!</definedName>
    <definedName name="time">#REF!</definedName>
    <definedName name="title">'[5]Огл. Графиков'!$B$2:$B$31</definedName>
    <definedName name="trea" localSheetId="4">#REF!</definedName>
    <definedName name="trea" localSheetId="3">#REF!</definedName>
    <definedName name="trea">#REF!</definedName>
    <definedName name="uk" localSheetId="4">#REF!</definedName>
    <definedName name="uk" localSheetId="3">#REF!</definedName>
    <definedName name="uk">#REF!</definedName>
    <definedName name="usa" localSheetId="4">#REF!</definedName>
    <definedName name="usa" localSheetId="3">#REF!</definedName>
    <definedName name="usa">#REF!</definedName>
    <definedName name="vnvn1">[0]!vnvn1</definedName>
    <definedName name="wbrate" localSheetId="4">[6]multilats!#REF!</definedName>
    <definedName name="wbrate" localSheetId="3">[6]multilats!#REF!</definedName>
    <definedName name="wbrate">[6]multilats!#REF!</definedName>
    <definedName name="ааа" localSheetId="4">#REF!</definedName>
    <definedName name="ааа" localSheetId="3">#REF!</definedName>
    <definedName name="ааа">#REF!</definedName>
    <definedName name="авава" localSheetId="4">'[7]Гр5(о)'!#REF!</definedName>
    <definedName name="авава" localSheetId="3">'[7]Гр5(о)'!#REF!</definedName>
    <definedName name="авава">'[7]Гр5(о)'!#REF!</definedName>
    <definedName name="АнМ" localSheetId="4">'[8]Гр5(о)'!#REF!</definedName>
    <definedName name="АнМ" localSheetId="3">'[8]Гр5(о)'!#REF!</definedName>
    <definedName name="АнМ">'[8]Гр5(о)'!#REF!</definedName>
    <definedName name="апраор" localSheetId="4">[9]ПРОГНОЗ_1!#REF!</definedName>
    <definedName name="апраор" localSheetId="3">[9]ПРОГНОЗ_1!#REF!</definedName>
    <definedName name="апраор">[9]ПРОГНОЗ_1!#REF!</definedName>
    <definedName name="ваааавауа" localSheetId="4">[10]ПРОГНОЗ_1!#REF!</definedName>
    <definedName name="ваааавауа" localSheetId="3">[10]ПРОГНОЗ_1!#REF!</definedName>
    <definedName name="ваааавауа">[10]ПРОГНОЗ_1!#REF!</definedName>
    <definedName name="вар1">[0]!вар1</definedName>
    <definedName name="вар2">[0]!вар2</definedName>
    <definedName name="вв" localSheetId="4">[11]ПРОГНОЗ_1!#REF!</definedName>
    <definedName name="вв" localSheetId="3">[11]ПРОГНОЗ_1!#REF!</definedName>
    <definedName name="вв">[11]ПРОГНОЗ_1!#REF!</definedName>
    <definedName name="Вып_н_2003" localSheetId="4">'[12]Текущие цены'!#REF!</definedName>
    <definedName name="Вып_н_2003" localSheetId="3">'[12]Текущие цены'!#REF!</definedName>
    <definedName name="Вып_н_2003">'[12]Текущие цены'!#REF!</definedName>
    <definedName name="вып_н_2004" localSheetId="4">'[12]Текущие цены'!#REF!</definedName>
    <definedName name="вып_н_2004" localSheetId="3">'[12]Текущие цены'!#REF!</definedName>
    <definedName name="вып_н_2004">'[12]Текущие цены'!#REF!</definedName>
    <definedName name="Вып_ОФ_с_пц">[5]рабочий!$Y$202:$AP$224</definedName>
    <definedName name="Вып_оф_с_цпг" localSheetId="4">'[12]Текущие цены'!#REF!</definedName>
    <definedName name="Вып_оф_с_цпг" localSheetId="3">'[12]Текущие цены'!#REF!</definedName>
    <definedName name="Вып_оф_с_цпг">'[12]Текущие цены'!#REF!</definedName>
    <definedName name="Вып_с_новых_ОФ">[5]рабочий!$Y$277:$AP$299</definedName>
    <definedName name="Выход">[13]Управление!$AF$20</definedName>
    <definedName name="гор">[0]!гор</definedName>
    <definedName name="гор1">[0]!гор1</definedName>
    <definedName name="График">"Диагр. 4"</definedName>
    <definedName name="ддд">[0]!ддд</definedName>
    <definedName name="Дефл_ц_пред_год">'[5]Текущие цены'!$AT$36:$BK$58</definedName>
    <definedName name="Дефлятор_годовой">'[5]Текущие цены'!$Y$4:$AP$27</definedName>
    <definedName name="Дефлятор_цепной">'[5]Текущие цены'!$Y$36:$AP$58</definedName>
    <definedName name="ДС" localSheetId="4">#REF!</definedName>
    <definedName name="ДС" localSheetId="3">#REF!</definedName>
    <definedName name="ДС">#REF!</definedName>
    <definedName name="лоп">ИБ!$L$9</definedName>
    <definedName name="лораловра" localSheetId="4">[14]ПРОГНОЗ_1!#REF!</definedName>
    <definedName name="лораловра" localSheetId="3">[14]ПРОГНОЗ_1!#REF!</definedName>
    <definedName name="лораловра">[14]ПРОГНОЗ_1!#REF!</definedName>
    <definedName name="М1" localSheetId="4">[9]ПРОГНОЗ_1!#REF!</definedName>
    <definedName name="М1" localSheetId="3">[9]ПРОГНОЗ_1!#REF!</definedName>
    <definedName name="М1">[9]ПРОГНОЗ_1!#REF!</definedName>
    <definedName name="Мониторинг1" localSheetId="4">'[15]Гр5(о)'!#REF!</definedName>
    <definedName name="Мониторинг1" localSheetId="3">'[15]Гр5(о)'!#REF!</definedName>
    <definedName name="Мониторинг1">'[15]Гр5(о)'!#REF!</definedName>
    <definedName name="НДПИ_нефть" localSheetId="4">#REF!</definedName>
    <definedName name="НДПИ_нефть" localSheetId="3">#REF!</definedName>
    <definedName name="НДПИ_нефть">#REF!</definedName>
    <definedName name="новые_ОФ_2003">[5]рабочий!$F$305:$W$327</definedName>
    <definedName name="новые_ОФ_2004">[5]рабочий!$F$335:$W$357</definedName>
    <definedName name="новые_ОФ_а_всего">[5]рабочий!$F$767:$V$789</definedName>
    <definedName name="новые_ОФ_всего">[5]рабочий!$F$1331:$V$1353</definedName>
    <definedName name="новые_ОФ_п_всего">[5]рабочий!$F$1293:$V$1315</definedName>
    <definedName name="нпнврпр" localSheetId="4">'[16]Гр5(о)'!#REF!</definedName>
    <definedName name="нпнврпр" localSheetId="3">'[16]Гр5(о)'!#REF!</definedName>
    <definedName name="нпнврпр">'[16]Гр5(о)'!#REF!</definedName>
    <definedName name="_xlnm.Print_Area" localSheetId="9">'Дох акц 9%'!$A$1:$I$16</definedName>
    <definedName name="_xlnm.Print_Area" localSheetId="15">'Дох акц авт.бенз'!$A$1:$I$16</definedName>
    <definedName name="_xlnm.Print_Area" localSheetId="13">'Дох акц диз.топ'!$A$1:$I$16</definedName>
    <definedName name="_xlnm.Print_Area" localSheetId="14">'Дох акц мотор.масла'!$A$1:$I$16</definedName>
    <definedName name="_xlnm.Print_Area" localSheetId="16">'Дох акц прям.бенз'!$A$1:$I$16</definedName>
    <definedName name="_xlnm.Print_Area" localSheetId="12">'Дох акц спирт НЕпищ.сырье'!$A$1:$I$16</definedName>
    <definedName name="_xlnm.Print_Area" localSheetId="11">'Дох акц спирт.прод'!$A$1:$I$16</definedName>
    <definedName name="_xlnm.Print_Area" localSheetId="10">'Дох акц этил спирт пищ.сырье'!$A$1:$I$16</definedName>
    <definedName name="_xlnm.Print_Area" localSheetId="5">'ЗН ФЛ '!$A$1:$I$16</definedName>
    <definedName name="_xlnm.Print_Area" localSheetId="4">'ЗН ЮЛ'!$A$1:$I$15</definedName>
    <definedName name="_xlnm.Print_Area" localSheetId="6">'НИ ФЛ_'!$A$1:$I$15</definedName>
    <definedName name="_xlnm.Print_Area" localSheetId="1">НИО!$A$1:$I$29</definedName>
    <definedName name="_xlnm.Print_Area" localSheetId="8">Пени!$A$1:$I$16</definedName>
    <definedName name="_xlnm.Print_Area" localSheetId="3">'ТН ФЛ'!$A$1:$I$65</definedName>
    <definedName name="_xlnm.Print_Area" localSheetId="2">'ТН ЮЛ'!$A$1:$I$85</definedName>
    <definedName name="_xlnm.Print_Area" localSheetId="0">тыс.руб.!$A$1:$J$35</definedName>
    <definedName name="окраска_05">[5]окраска!$C$7:$Z$30</definedName>
    <definedName name="окраска_06">[5]окраска!$C$35:$Z$58</definedName>
    <definedName name="окраска_07">[5]окраска!$C$63:$Z$86</definedName>
    <definedName name="окраска_08">[5]окраска!$C$91:$Z$114</definedName>
    <definedName name="окраска_09">[5]окраска!$C$119:$Z$142</definedName>
    <definedName name="окраска_10">[5]окраска!$C$147:$Z$170</definedName>
    <definedName name="окраска_11">[5]окраска!$C$175:$Z$198</definedName>
    <definedName name="окраска_12">[5]окраска!$C$203:$Z$226</definedName>
    <definedName name="окраска_13">[5]окраска!$C$231:$Z$254</definedName>
    <definedName name="окраска_14">[5]окраска!$C$259:$Z$282</definedName>
    <definedName name="окраска_15">[5]окраска!$C$287:$Z$310</definedName>
    <definedName name="ОФ_а_с_пц">[5]рабочий!$CI$121:$CY$143</definedName>
    <definedName name="оф_н_а_2003_пц" localSheetId="4">'[12]Текущие цены'!#REF!</definedName>
    <definedName name="оф_н_а_2003_пц" localSheetId="3">'[12]Текущие цены'!#REF!</definedName>
    <definedName name="оф_н_а_2003_пц">'[12]Текущие цены'!#REF!</definedName>
    <definedName name="оф_н_а_2004" localSheetId="4">'[12]Текущие цены'!#REF!</definedName>
    <definedName name="оф_н_а_2004" localSheetId="3">'[12]Текущие цены'!#REF!</definedName>
    <definedName name="оф_н_а_2004">'[12]Текущие цены'!#REF!</definedName>
    <definedName name="ПОКАЗАТЕЛИ_ДОЛГОСР.ПРОГНОЗА" localSheetId="4">'[17]2002(v2)'!#REF!</definedName>
    <definedName name="ПОКАЗАТЕЛИ_ДОЛГОСР.ПРОГНОЗА" localSheetId="3">'[17]2002(v2)'!#REF!</definedName>
    <definedName name="ПОКАЗАТЕЛИ_ДОЛГОСР.ПРОГНОЗА">'[17]2002(v2)'!#REF!</definedName>
    <definedName name="Потреб_вып_всего" localSheetId="4">'[12]Текущие цены'!#REF!</definedName>
    <definedName name="Потреб_вып_всего" localSheetId="3">'[12]Текущие цены'!#REF!</definedName>
    <definedName name="Потреб_вып_всего">'[12]Текущие цены'!#REF!</definedName>
    <definedName name="Потреб_вып_оф_н_цпг" localSheetId="4">'[12]Текущие цены'!#REF!</definedName>
    <definedName name="Потреб_вып_оф_н_цпг" localSheetId="3">'[12]Текущие цены'!#REF!</definedName>
    <definedName name="Потреб_вып_оф_н_цпг">'[12]Текущие цены'!#REF!</definedName>
    <definedName name="ппрорл" localSheetId="4">[18]ПРОГНОЗ_1!#REF!</definedName>
    <definedName name="ппрорл" localSheetId="3">[18]ПРОГНОЗ_1!#REF!</definedName>
    <definedName name="ппрорл">[18]ПРОГНОЗ_1!#REF!</definedName>
    <definedName name="пр">[19]Управление!$AF$17</definedName>
    <definedName name="приб">[19]Управление!$AE$20</definedName>
    <definedName name="прибвб2">[19]Управление!$AF$20</definedName>
    <definedName name="прогноз" localSheetId="4">'[20]Гр5(о)'!#REF!</definedName>
    <definedName name="прогноз" localSheetId="3">'[20]Гр5(о)'!#REF!</definedName>
    <definedName name="прогноз">'[20]Гр5(о)'!#REF!</definedName>
    <definedName name="Прогноз_Вып_пц">[5]рабочий!$Y$240:$AP$262</definedName>
    <definedName name="Прогноз_вып_цпг" localSheetId="4">'[12]Текущие цены'!#REF!</definedName>
    <definedName name="Прогноз_вып_цпг" localSheetId="3">'[12]Текущие цены'!#REF!</definedName>
    <definedName name="Прогноз_вып_цпг">'[12]Текущие цены'!#REF!</definedName>
    <definedName name="Прогноз97" localSheetId="4">[18]ПРОГНОЗ_1!#REF!</definedName>
    <definedName name="Прогноз97" localSheetId="3">[18]ПРОГНОЗ_1!#REF!</definedName>
    <definedName name="Прогноз97">[18]ПРОГНОЗ_1!#REF!</definedName>
    <definedName name="рпорлол" localSheetId="4">'[21]Гр5(о)'!#REF!</definedName>
    <definedName name="рпорлол" localSheetId="3">'[21]Гр5(о)'!#REF!</definedName>
    <definedName name="рпорлол">'[21]Гр5(о)'!#REF!</definedName>
    <definedName name="тттт">[0]!тттт</definedName>
    <definedName name="тьбтбл">[0]!тьбтбл</definedName>
    <definedName name="фо_а_н_пц">[5]рабочий!$AR$240:$BI$263</definedName>
    <definedName name="фо_а_с_пц">[5]рабочий!$AS$202:$BI$224</definedName>
    <definedName name="фо_н_03">[5]рабочий!$X$305:$X$327</definedName>
    <definedName name="фо_н_04">[5]рабочий!$X$335:$X$357</definedName>
    <definedName name="фф" localSheetId="4">'[21]Гр5(о)'!#REF!</definedName>
    <definedName name="фф" localSheetId="3">'[21]Гр5(о)'!#REF!</definedName>
    <definedName name="фф">'[21]Гр5(о)'!#REF!</definedName>
    <definedName name="ффф" localSheetId="4">#REF!</definedName>
    <definedName name="ффф" localSheetId="3">#REF!</definedName>
    <definedName name="ффф">#REF!</definedName>
  </definedNames>
  <calcPr calcId="191029"/>
</workbook>
</file>

<file path=xl/calcChain.xml><?xml version="1.0" encoding="utf-8"?>
<calcChain xmlns="http://schemas.openxmlformats.org/spreadsheetml/2006/main">
  <c r="L5" i="95" l="1"/>
  <c r="L6" i="95"/>
  <c r="L7" i="95"/>
  <c r="L4" i="95"/>
  <c r="J5" i="95" l="1"/>
  <c r="J6" i="95"/>
  <c r="J7" i="95"/>
  <c r="J4" i="95"/>
  <c r="D8" i="94" l="1"/>
  <c r="D7" i="94"/>
  <c r="D6" i="94"/>
  <c r="D5" i="94"/>
  <c r="D8" i="102"/>
  <c r="D7" i="102"/>
  <c r="D6" i="102"/>
  <c r="D5" i="102"/>
  <c r="D8" i="101"/>
  <c r="D7" i="101"/>
  <c r="D6" i="101"/>
  <c r="D5" i="101"/>
  <c r="D8" i="100"/>
  <c r="D7" i="100"/>
  <c r="D6" i="100"/>
  <c r="D5" i="100"/>
  <c r="D8" i="99"/>
  <c r="D7" i="99"/>
  <c r="D6" i="99"/>
  <c r="D5" i="99"/>
  <c r="D8" i="98"/>
  <c r="D7" i="98"/>
  <c r="D6" i="98"/>
  <c r="D5" i="98"/>
  <c r="D8" i="97"/>
  <c r="D7" i="97"/>
  <c r="D6" i="97"/>
  <c r="D5" i="97"/>
  <c r="D8" i="96"/>
  <c r="D7" i="96"/>
  <c r="D6" i="96"/>
  <c r="D5" i="96"/>
  <c r="D8" i="95" l="1"/>
  <c r="D7" i="95"/>
  <c r="D6" i="95"/>
  <c r="D5" i="95"/>
  <c r="S21" i="132" l="1"/>
  <c r="P21" i="132"/>
  <c r="M21" i="132"/>
  <c r="J21" i="132"/>
  <c r="U20" i="132"/>
  <c r="U22" i="132" s="1"/>
  <c r="R20" i="132"/>
  <c r="R22" i="132" s="1"/>
  <c r="O20" i="132"/>
  <c r="L20" i="132"/>
  <c r="L21" i="132" s="1"/>
  <c r="U19" i="132"/>
  <c r="S19" i="132"/>
  <c r="R19" i="132"/>
  <c r="P19" i="132"/>
  <c r="O19" i="132"/>
  <c r="M19" i="132"/>
  <c r="L19" i="132"/>
  <c r="J19" i="132"/>
  <c r="T18" i="132"/>
  <c r="Q18" i="132"/>
  <c r="N18" i="132"/>
  <c r="K18" i="132"/>
  <c r="U17" i="132"/>
  <c r="S17" i="132"/>
  <c r="R17" i="132"/>
  <c r="P17" i="132"/>
  <c r="O17" i="132"/>
  <c r="M17" i="132"/>
  <c r="L17" i="132"/>
  <c r="J17" i="132"/>
  <c r="T16" i="132"/>
  <c r="Q16" i="132"/>
  <c r="N16" i="132"/>
  <c r="K16" i="132"/>
  <c r="U15" i="132"/>
  <c r="S15" i="132"/>
  <c r="R15" i="132"/>
  <c r="P15" i="132"/>
  <c r="O15" i="132"/>
  <c r="M15" i="132"/>
  <c r="L15" i="132"/>
  <c r="J15" i="132"/>
  <c r="T14" i="132"/>
  <c r="Q14" i="132"/>
  <c r="N14" i="132"/>
  <c r="K14" i="132"/>
  <c r="U13" i="132"/>
  <c r="S13" i="132"/>
  <c r="R13" i="132"/>
  <c r="P13" i="132"/>
  <c r="O13" i="132"/>
  <c r="M13" i="132"/>
  <c r="L13" i="132"/>
  <c r="J13" i="132"/>
  <c r="T12" i="132"/>
  <c r="Q12" i="132"/>
  <c r="N12" i="132"/>
  <c r="K12" i="132"/>
  <c r="U11" i="132"/>
  <c r="S11" i="132"/>
  <c r="R11" i="132"/>
  <c r="P11" i="132"/>
  <c r="O11" i="132"/>
  <c r="M11" i="132"/>
  <c r="L11" i="132"/>
  <c r="J11" i="132"/>
  <c r="T10" i="132"/>
  <c r="Q10" i="132"/>
  <c r="N10" i="132"/>
  <c r="K10" i="132"/>
  <c r="U9" i="132"/>
  <c r="S9" i="132"/>
  <c r="R9" i="132"/>
  <c r="P9" i="132"/>
  <c r="O9" i="132"/>
  <c r="M9" i="132"/>
  <c r="L9" i="132"/>
  <c r="J9" i="132"/>
  <c r="T8" i="132"/>
  <c r="Q8" i="132"/>
  <c r="N8" i="132"/>
  <c r="K8" i="132"/>
  <c r="U7" i="132"/>
  <c r="S7" i="132"/>
  <c r="R7" i="132"/>
  <c r="P7" i="132"/>
  <c r="O7" i="132"/>
  <c r="M7" i="132"/>
  <c r="L7" i="132"/>
  <c r="J7" i="132"/>
  <c r="T6" i="132"/>
  <c r="Q6" i="132"/>
  <c r="N6" i="132"/>
  <c r="K6" i="132"/>
  <c r="S3" i="132"/>
  <c r="P3" i="132"/>
  <c r="M3" i="132"/>
  <c r="J3" i="132"/>
  <c r="O21" i="132" l="1"/>
  <c r="L22" i="132"/>
  <c r="R21" i="132"/>
  <c r="O22" i="132"/>
  <c r="U21" i="132"/>
  <c r="I8" i="87" l="1"/>
  <c r="H8" i="87"/>
  <c r="G8" i="87"/>
  <c r="F8" i="87"/>
  <c r="E8" i="87"/>
  <c r="I6" i="87"/>
  <c r="H6" i="87"/>
  <c r="G6" i="87"/>
  <c r="F6" i="87"/>
  <c r="E12" i="86"/>
  <c r="I9" i="86"/>
  <c r="I12" i="86" s="1"/>
  <c r="H9" i="86"/>
  <c r="H12" i="86" s="1"/>
  <c r="G9" i="86"/>
  <c r="G12" i="86" s="1"/>
  <c r="F9" i="86"/>
  <c r="F12" i="86" s="1"/>
  <c r="E9" i="86"/>
  <c r="I7" i="86"/>
  <c r="H7" i="86"/>
  <c r="G7" i="86"/>
  <c r="F7" i="86"/>
  <c r="E12" i="131"/>
  <c r="E9" i="131"/>
  <c r="I7" i="131"/>
  <c r="H7" i="131"/>
  <c r="G7" i="131"/>
  <c r="F7" i="131"/>
  <c r="E7" i="131"/>
  <c r="I74" i="130"/>
  <c r="H74" i="130"/>
  <c r="G74" i="130"/>
  <c r="F74" i="130"/>
  <c r="I71" i="130"/>
  <c r="H71" i="130"/>
  <c r="G71" i="130"/>
  <c r="F71" i="130"/>
  <c r="I68" i="130"/>
  <c r="H68" i="130"/>
  <c r="G68" i="130"/>
  <c r="F68" i="130"/>
  <c r="I65" i="130"/>
  <c r="H65" i="130"/>
  <c r="G65" i="130"/>
  <c r="F65" i="130"/>
  <c r="I58" i="130"/>
  <c r="H58" i="130"/>
  <c r="G58" i="130"/>
  <c r="F58" i="130"/>
  <c r="I55" i="130"/>
  <c r="H55" i="130"/>
  <c r="G55" i="130"/>
  <c r="F55" i="130"/>
  <c r="I51" i="130"/>
  <c r="H51" i="130"/>
  <c r="G51" i="130"/>
  <c r="F51" i="130"/>
  <c r="I45" i="130"/>
  <c r="I44" i="130" s="1"/>
  <c r="H45" i="130"/>
  <c r="H44" i="130" s="1"/>
  <c r="G45" i="130"/>
  <c r="F45" i="130"/>
  <c r="F44" i="130" s="1"/>
  <c r="G44" i="130"/>
  <c r="I38" i="130"/>
  <c r="H38" i="130"/>
  <c r="G38" i="130"/>
  <c r="F38" i="130"/>
  <c r="I35" i="130"/>
  <c r="H35" i="130"/>
  <c r="G35" i="130"/>
  <c r="F35" i="130"/>
  <c r="I32" i="130"/>
  <c r="H32" i="130"/>
  <c r="G32" i="130"/>
  <c r="F32" i="130"/>
  <c r="I29" i="130"/>
  <c r="H29" i="130"/>
  <c r="G29" i="130"/>
  <c r="F29" i="130"/>
  <c r="I22" i="130"/>
  <c r="H22" i="130"/>
  <c r="G22" i="130"/>
  <c r="F22" i="130"/>
  <c r="I19" i="130"/>
  <c r="H19" i="130"/>
  <c r="G19" i="130"/>
  <c r="F19" i="130"/>
  <c r="I15" i="130"/>
  <c r="H15" i="130"/>
  <c r="G15" i="130"/>
  <c r="F15" i="130"/>
  <c r="I9" i="130"/>
  <c r="H9" i="130"/>
  <c r="H8" i="130" s="1"/>
  <c r="G9" i="130"/>
  <c r="F9" i="130"/>
  <c r="E9" i="130"/>
  <c r="I8" i="130"/>
  <c r="G8" i="130"/>
  <c r="F8" i="130"/>
  <c r="E8" i="130"/>
  <c r="I7" i="130"/>
  <c r="H7" i="130"/>
  <c r="G7" i="130"/>
  <c r="F7" i="130"/>
  <c r="F7" i="104"/>
  <c r="G7" i="104"/>
  <c r="H7" i="104"/>
  <c r="I7" i="104"/>
  <c r="E8" i="111"/>
  <c r="F20" i="111"/>
  <c r="E20" i="111"/>
  <c r="F19" i="111"/>
  <c r="F23" i="111" s="1"/>
  <c r="F24" i="111" s="1"/>
  <c r="E19" i="111"/>
  <c r="E23" i="111" s="1"/>
  <c r="E24" i="111" s="1"/>
  <c r="E16" i="111"/>
  <c r="E15" i="111"/>
  <c r="I14" i="111"/>
  <c r="I20" i="111" s="1"/>
  <c r="H14" i="111"/>
  <c r="H20" i="111" s="1"/>
  <c r="G14" i="111"/>
  <c r="G20" i="111" s="1"/>
  <c r="I13" i="111"/>
  <c r="I19" i="111" s="1"/>
  <c r="H13" i="111"/>
  <c r="H19" i="111" s="1"/>
  <c r="G13" i="111"/>
  <c r="G19" i="111" s="1"/>
  <c r="G21" i="111" s="1"/>
  <c r="G23" i="111" l="1"/>
  <c r="G24" i="111" s="1"/>
  <c r="G25" i="111" s="1"/>
  <c r="G26" i="111" s="1"/>
  <c r="G8" i="111" s="1"/>
  <c r="E21" i="111"/>
  <c r="E25" i="111" s="1"/>
  <c r="E27" i="111" s="1"/>
  <c r="I23" i="111"/>
  <c r="I24" i="111" s="1"/>
  <c r="I21" i="111"/>
  <c r="H23" i="111"/>
  <c r="H24" i="111" s="1"/>
  <c r="H21" i="111"/>
  <c r="F21" i="111"/>
  <c r="F25" i="111" s="1"/>
  <c r="F26" i="111" s="1"/>
  <c r="F8" i="111" s="1"/>
  <c r="I25" i="111" l="1"/>
  <c r="I26" i="111" s="1"/>
  <c r="I8" i="111" s="1"/>
  <c r="H25" i="111"/>
  <c r="H26" i="111" s="1"/>
  <c r="H8" i="111" s="1"/>
  <c r="B26" i="132" l="1"/>
  <c r="B24" i="132"/>
  <c r="I22" i="132"/>
  <c r="I23" i="132" s="1"/>
  <c r="F22" i="132"/>
  <c r="F23" i="132" s="1"/>
  <c r="I21" i="132"/>
  <c r="G21" i="132"/>
  <c r="H20" i="132"/>
  <c r="E20" i="132"/>
  <c r="I19" i="132"/>
  <c r="G19" i="132"/>
  <c r="H18" i="132"/>
  <c r="E18" i="132"/>
  <c r="I17" i="132"/>
  <c r="G17" i="132"/>
  <c r="H16" i="132"/>
  <c r="E16" i="132"/>
  <c r="I15" i="132"/>
  <c r="G15" i="132"/>
  <c r="H14" i="132"/>
  <c r="E14" i="132"/>
  <c r="I13" i="132"/>
  <c r="G13" i="132"/>
  <c r="H12" i="132"/>
  <c r="E12" i="132"/>
  <c r="I11" i="132"/>
  <c r="G11" i="132"/>
  <c r="H10" i="132"/>
  <c r="E10" i="132"/>
  <c r="I9" i="132"/>
  <c r="G9" i="132"/>
  <c r="H8" i="132"/>
  <c r="E8" i="132"/>
  <c r="I7" i="132"/>
  <c r="G7" i="132"/>
  <c r="H6" i="132"/>
  <c r="E6" i="132"/>
  <c r="G3" i="132"/>
  <c r="D3" i="132"/>
  <c r="J10" i="4" l="1"/>
  <c r="J11" i="4"/>
  <c r="J12" i="4"/>
  <c r="J14" i="4"/>
  <c r="J15" i="4"/>
  <c r="J16" i="4"/>
  <c r="J17" i="4"/>
  <c r="J18" i="4"/>
  <c r="J19" i="4"/>
  <c r="J20" i="4"/>
  <c r="J23" i="4"/>
  <c r="J25" i="4"/>
  <c r="J26" i="4"/>
  <c r="J27" i="4"/>
  <c r="J28" i="4"/>
  <c r="J29" i="4"/>
  <c r="J30" i="4"/>
  <c r="J31" i="4"/>
  <c r="J32" i="4"/>
  <c r="J33" i="4"/>
  <c r="J34" i="4"/>
  <c r="J35" i="4"/>
  <c r="J8" i="4"/>
  <c r="I10" i="4"/>
  <c r="I11" i="4"/>
  <c r="I12" i="4"/>
  <c r="I14" i="4"/>
  <c r="I15" i="4"/>
  <c r="I16" i="4"/>
  <c r="I17" i="4"/>
  <c r="I18" i="4"/>
  <c r="I19" i="4"/>
  <c r="I20" i="4"/>
  <c r="I23" i="4"/>
  <c r="I25" i="4"/>
  <c r="I26" i="4"/>
  <c r="I27" i="4"/>
  <c r="I28" i="4"/>
  <c r="I29" i="4"/>
  <c r="I30" i="4"/>
  <c r="I31" i="4"/>
  <c r="I32" i="4"/>
  <c r="I33" i="4"/>
  <c r="I34" i="4"/>
  <c r="I35" i="4"/>
  <c r="I8" i="4"/>
  <c r="D8" i="4"/>
  <c r="E8" i="4"/>
  <c r="G8" i="4"/>
  <c r="H8" i="4"/>
  <c r="D10" i="4"/>
  <c r="E10" i="4"/>
  <c r="G10" i="4"/>
  <c r="H10" i="4"/>
  <c r="D11" i="4"/>
  <c r="E11" i="4"/>
  <c r="G11" i="4"/>
  <c r="H11" i="4"/>
  <c r="D12" i="4"/>
  <c r="E12" i="4"/>
  <c r="G12" i="4"/>
  <c r="H12" i="4"/>
  <c r="D14" i="4"/>
  <c r="E14" i="4"/>
  <c r="G14" i="4"/>
  <c r="H14" i="4"/>
  <c r="D15" i="4"/>
  <c r="E15" i="4"/>
  <c r="G15" i="4"/>
  <c r="H15" i="4"/>
  <c r="D16" i="4"/>
  <c r="E16" i="4"/>
  <c r="G16" i="4"/>
  <c r="H16" i="4"/>
  <c r="D17" i="4"/>
  <c r="E17" i="4"/>
  <c r="G17" i="4"/>
  <c r="H17" i="4"/>
  <c r="D18" i="4"/>
  <c r="E18" i="4"/>
  <c r="G18" i="4"/>
  <c r="H18" i="4"/>
  <c r="D19" i="4"/>
  <c r="E19" i="4"/>
  <c r="G19" i="4"/>
  <c r="H19" i="4"/>
  <c r="D20" i="4"/>
  <c r="E20" i="4"/>
  <c r="G20" i="4"/>
  <c r="H20" i="4"/>
  <c r="B21" i="4"/>
  <c r="E21" i="4" s="1"/>
  <c r="C21" i="4"/>
  <c r="F21" i="4"/>
  <c r="G21" i="4" s="1"/>
  <c r="D23" i="4"/>
  <c r="E23" i="4"/>
  <c r="G23" i="4"/>
  <c r="H23" i="4"/>
  <c r="D25" i="4"/>
  <c r="E25" i="4"/>
  <c r="G25" i="4"/>
  <c r="H25" i="4"/>
  <c r="D26" i="4"/>
  <c r="E26" i="4"/>
  <c r="G26" i="4"/>
  <c r="H26" i="4"/>
  <c r="D27" i="4"/>
  <c r="E27" i="4"/>
  <c r="G27" i="4"/>
  <c r="H27" i="4"/>
  <c r="D28" i="4"/>
  <c r="E28" i="4"/>
  <c r="G28" i="4"/>
  <c r="H28" i="4"/>
  <c r="D29" i="4"/>
  <c r="E29" i="4"/>
  <c r="G29" i="4"/>
  <c r="H29" i="4"/>
  <c r="D30" i="4"/>
  <c r="E30" i="4"/>
  <c r="G30" i="4"/>
  <c r="H30" i="4"/>
  <c r="D31" i="4"/>
  <c r="E31" i="4"/>
  <c r="G31" i="4"/>
  <c r="H31" i="4"/>
  <c r="D32" i="4"/>
  <c r="E32" i="4"/>
  <c r="G32" i="4"/>
  <c r="H32" i="4"/>
  <c r="D33" i="4"/>
  <c r="E33" i="4"/>
  <c r="G33" i="4"/>
  <c r="H33" i="4"/>
  <c r="D34" i="4"/>
  <c r="E34" i="4"/>
  <c r="G34" i="4"/>
  <c r="H34" i="4"/>
  <c r="D35" i="4"/>
  <c r="E35" i="4"/>
  <c r="G35" i="4"/>
  <c r="H35" i="4"/>
  <c r="D21" i="4" l="1"/>
  <c r="I21" i="4"/>
  <c r="J21" i="4"/>
  <c r="H21" i="4"/>
</calcChain>
</file>

<file path=xl/sharedStrings.xml><?xml version="1.0" encoding="utf-8"?>
<sst xmlns="http://schemas.openxmlformats.org/spreadsheetml/2006/main" count="999" uniqueCount="425">
  <si>
    <t>Виды налогов</t>
  </si>
  <si>
    <t>Налог на прибыль организаций</t>
  </si>
  <si>
    <t>Налог на доходы физических лиц</t>
  </si>
  <si>
    <t>Акцизы на алкогольную продукцию, производимую на территории Российской Федерации</t>
  </si>
  <si>
    <t>Акцизы на пиво, производимое на территории Российской Федерации</t>
  </si>
  <si>
    <t>Налог на добычу полезных ископаемых</t>
  </si>
  <si>
    <t>Сбор за пользование объектами животного мира</t>
  </si>
  <si>
    <t>Сбор за пользование объектами водных биологических ресурсов</t>
  </si>
  <si>
    <t>Государственная пошлина</t>
  </si>
  <si>
    <t>Транспортный налог</t>
  </si>
  <si>
    <t>Налог на имущество физических лиц</t>
  </si>
  <si>
    <t>Налог на имущество организаций</t>
  </si>
  <si>
    <t>Земельный налог</t>
  </si>
  <si>
    <t>Налог на игорный бизнес, зачисляемый в бюджеты субъектов Российской Федерации</t>
  </si>
  <si>
    <t>Единый 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</si>
  <si>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</si>
  <si>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</si>
  <si>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</t>
  </si>
  <si>
    <t>тыс.руб.</t>
  </si>
  <si>
    <t>Остальные налоги и сборы  (в.т.ч. штрафы)</t>
  </si>
  <si>
    <t>Акцизы на вина, фруктовые вина, игристые вина (шампанские)</t>
  </si>
  <si>
    <r>
      <rPr>
        <b/>
        <sz val="10"/>
        <rFont val="Arial Cyr"/>
        <charset val="204"/>
      </rPr>
      <t>Прогноз</t>
    </r>
    <r>
      <rPr>
        <sz val="10"/>
        <rFont val="Arial Cyr"/>
      </rPr>
      <t xml:space="preserve"> УФНС на 2014 год для Минфина от </t>
    </r>
    <r>
      <rPr>
        <b/>
        <sz val="10"/>
        <rFont val="Arial Cyr"/>
        <charset val="204"/>
      </rPr>
      <t>02.07.2013</t>
    </r>
  </si>
  <si>
    <r>
      <rPr>
        <b/>
        <sz val="10"/>
        <rFont val="Arial Cyr"/>
        <charset val="204"/>
      </rPr>
      <t>Оценка</t>
    </r>
    <r>
      <rPr>
        <sz val="10"/>
        <rFont val="Arial Cyr"/>
      </rPr>
      <t xml:space="preserve"> УФНС на 2014 год для Минфина от </t>
    </r>
    <r>
      <rPr>
        <b/>
        <sz val="10"/>
        <rFont val="Arial Cyr"/>
        <charset val="204"/>
      </rPr>
      <t>30.06.2014</t>
    </r>
  </si>
  <si>
    <t xml:space="preserve">Кассовый план на 2014 год </t>
  </si>
  <si>
    <t xml:space="preserve">По администрируемым ФНС России доходам, всего </t>
  </si>
  <si>
    <t>Акцизы по подакцизным товарам (продукции), производимым на территории Российской Федерации, всего</t>
  </si>
  <si>
    <t>в том числе:</t>
  </si>
  <si>
    <t>из него:</t>
  </si>
  <si>
    <t>Налоги на имущество, всего</t>
  </si>
  <si>
    <t>транспортный налог с организаций</t>
  </si>
  <si>
    <t>транспортный налог с физических лиц</t>
  </si>
  <si>
    <t>гр.3 - гр.2 (млн.руб.)</t>
  </si>
  <si>
    <t>гр.6 - гр.3 (млн.руб.)</t>
  </si>
  <si>
    <t>гр.6 - гр.2 (млн.руб.)</t>
  </si>
  <si>
    <t>Отклонения ожидаемых поступлений в консолидированный бюджет субъекта в 2014 году</t>
  </si>
  <si>
    <t>гр.3/гр.2         (%)</t>
  </si>
  <si>
    <t>гр.6/гр.3         (%)</t>
  </si>
  <si>
    <t>гр.6/гр.2         (%)</t>
  </si>
  <si>
    <t xml:space="preserve">Отклонение кассового плана от прогноза УФНС </t>
  </si>
  <si>
    <t xml:space="preserve">Отклонение оценки поступлений УФНС от кассового плана </t>
  </si>
  <si>
    <r>
      <t>Отклонение оценки поступлений УФНС от прогноза УФНС</t>
    </r>
    <r>
      <rPr>
        <b/>
        <sz val="10"/>
        <rFont val="Arial Cyr"/>
        <charset val="204"/>
      </rPr>
      <t xml:space="preserve"> </t>
    </r>
  </si>
  <si>
    <t>Наименование показателя</t>
  </si>
  <si>
    <t>Единица измерения</t>
  </si>
  <si>
    <t>п/п</t>
  </si>
  <si>
    <t>Расчет значения</t>
  </si>
  <si>
    <t>КБК</t>
  </si>
  <si>
    <t>Примечание</t>
  </si>
  <si>
    <t>формула</t>
  </si>
  <si>
    <t>данные</t>
  </si>
  <si>
    <t>Отчетная дата (период)</t>
  </si>
  <si>
    <t>Алгоритм расчета</t>
  </si>
  <si>
    <t>Значение показателя</t>
  </si>
  <si>
    <t>Налог на игорный бизнес</t>
  </si>
  <si>
    <t>№ п/п</t>
  </si>
  <si>
    <t>Приложение № 2</t>
  </si>
  <si>
    <t>Приложение № 7</t>
  </si>
  <si>
    <t>Приложение № 8</t>
  </si>
  <si>
    <t>тыс.руб</t>
  </si>
  <si>
    <t>Источник данных</t>
  </si>
  <si>
    <t>Приложение № 14</t>
  </si>
  <si>
    <t>Приложение № 16</t>
  </si>
  <si>
    <t>Х</t>
  </si>
  <si>
    <t>на 2025 год</t>
  </si>
  <si>
    <t>тыс.рублей</t>
  </si>
  <si>
    <t>на 2026 год</t>
  </si>
  <si>
    <t>Доходы от уплаты акцизов на этиловый спирт из пищевого сырья</t>
  </si>
  <si>
    <t>Доходы от уплаты акцизов на спиртосодержащую продукцию</t>
  </si>
  <si>
    <t>Доходы от уплаты акцизов на этиловый спирт из НЕпищевого сырья</t>
  </si>
  <si>
    <t>Доходы от уплаты акцизов на дизельное топливо</t>
  </si>
  <si>
    <t>Доходы от уплаты акцизов на моторные масла</t>
  </si>
  <si>
    <t>Доходы от уплаты акцизов на автомобильный бензин</t>
  </si>
  <si>
    <t>Прогноз на 2026 год</t>
  </si>
  <si>
    <t>Суммы пеней, установленных Налоговым кодексом, распределяемые в соответствии с подпунктом 1 пункта 11 статьи 46 Бюджетного кодекса РФ</t>
  </si>
  <si>
    <t>18211618000020000140</t>
  </si>
  <si>
    <t>Доходы от уплаты акцизов на алкоголь с объемной долей этилового спирта свыше 9%</t>
  </si>
  <si>
    <t>18210302142010000110
18210302143010000110
18210302144010000110</t>
  </si>
  <si>
    <t>18210302190010000110
18210302200010000110</t>
  </si>
  <si>
    <t>18210302210010000110</t>
  </si>
  <si>
    <t>18210302220010000110</t>
  </si>
  <si>
    <t>18210302231010000110
18210302232010000110</t>
  </si>
  <si>
    <t>18210302241010000110
18210302242010000110</t>
  </si>
  <si>
    <t>18210302251010000110
18210302252010000110</t>
  </si>
  <si>
    <t>Доходы от уплаты акцизов на прямогонный бензин</t>
  </si>
  <si>
    <t>18210302261010000110
18210302262010000110</t>
  </si>
  <si>
    <t>А</t>
  </si>
  <si>
    <t>Б</t>
  </si>
  <si>
    <t>В</t>
  </si>
  <si>
    <t>темп к предыдущему периоду, %</t>
  </si>
  <si>
    <t>Прогнозируемый период</t>
  </si>
  <si>
    <t>182106040110000110</t>
  </si>
  <si>
    <t>182106040120000110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</si>
  <si>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</si>
  <si>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</si>
  <si>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</si>
  <si>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</si>
  <si>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</si>
  <si>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18210606040000000110</t>
  </si>
  <si>
    <t>182106010000000110</t>
  </si>
  <si>
    <t xml:space="preserve">Налог на имущество физических лиц </t>
  </si>
  <si>
    <t xml:space="preserve">Налог на имущество организаций </t>
  </si>
  <si>
    <t>18210602000020000110</t>
  </si>
  <si>
    <t>Приложение № 3</t>
  </si>
  <si>
    <t>на 2027 год</t>
  </si>
  <si>
    <t>Прогноз на 2027 год</t>
  </si>
  <si>
    <t xml:space="preserve">Наименование налога </t>
  </si>
  <si>
    <t>Средняя ставка налога, %</t>
  </si>
  <si>
    <t>Сумма налога, подлежащего уплате в бюджет по 5-МН, для расчета средней ставки, тыс. рублей</t>
  </si>
  <si>
    <t xml:space="preserve">Налоговая база (кадастровая стоимость с учетом льгот) с применением коэффициента экстраполяции, тыс. рублей </t>
  </si>
  <si>
    <t>Сумма налога, подлежащего уплате в бюджет-всего, тыс. рублей</t>
  </si>
  <si>
    <t>Сумма земельного налога начисленная, тыс. рублей</t>
  </si>
  <si>
    <t xml:space="preserve">Коэффициент переходящих платежей, % </t>
  </si>
  <si>
    <t xml:space="preserve">Коэффициент собираемости, % </t>
  </si>
  <si>
    <t>Фактор F (+/-), тыс. рублей</t>
  </si>
  <si>
    <t xml:space="preserve">земельный налог с организаций </t>
  </si>
  <si>
    <t xml:space="preserve">земельный налог с физических лиц </t>
  </si>
  <si>
    <t>Налоговая база по кадастровой стоимости объектов с учетом вычетов, тыс.рублей</t>
  </si>
  <si>
    <t>Сумма поступившего налога, всего, тыс. руб</t>
  </si>
  <si>
    <t>Сумма начисленного налога, всего, тыс. руб.</t>
  </si>
  <si>
    <t>Транспортный налог с организаций</t>
  </si>
  <si>
    <t>Количество объектов транспортных средств по видам транспортных средств:*</t>
  </si>
  <si>
    <t>Автомобили легковые с мощностью двигателя:</t>
  </si>
  <si>
    <t>до 100 л.с. (до 73,55 кВт) включительно</t>
  </si>
  <si>
    <t>свыше 100 л.с. до 150 л.с. (свыше 73,55 кВт до 110,33 кВт) включительно</t>
  </si>
  <si>
    <t>свыше 150 л.с. до 200 л.с. (свыше 110,33 кВт до 147,1 кВт) включительно</t>
  </si>
  <si>
    <t>свыше 200 л.с. до 250 л.с. (свыше 147,1 кВт до 183,9 кВт) включительно</t>
  </si>
  <si>
    <t>свыше 250 л.с. (свыше 183,9 кВт)</t>
  </si>
  <si>
    <t>Мотоциклы и мотороллеры с мощностью двигателя:</t>
  </si>
  <si>
    <t>до 20 л.с. (до 14,7 кВт) включительно</t>
  </si>
  <si>
    <t>свыше 20 л.с. до 35 л.с. (свыше 14,7 кВт до 25,74 кВт) включительно</t>
  </si>
  <si>
    <t>свыше 35 л.с. (свыше 25,74 кВт)</t>
  </si>
  <si>
    <t>Автобусы с мощностью двигателя:</t>
  </si>
  <si>
    <t>до 200 л.с. (до 147,1 кВт) включительно</t>
  </si>
  <si>
    <t>свыше 200 л.с. (свыше 147,1 кВт)</t>
  </si>
  <si>
    <t>Автомобили грузовые  с мощностью двигателя:</t>
  </si>
  <si>
    <t>Другие самоходные транспортные средства, машины и механизмы на пневматическом и гусеничном ходу</t>
  </si>
  <si>
    <t xml:space="preserve">Снегоходы, мотосани с мощностью двигателя: </t>
  </si>
  <si>
    <t>до 50 л.с. (до 36,77 кВт) включительно</t>
  </si>
  <si>
    <t>свыше 50 л.с. (свыше 36,77 кВт)</t>
  </si>
  <si>
    <t xml:space="preserve">Катера, моторные лодки и другие водные транспортные средства с мощностью двигателя: </t>
  </si>
  <si>
    <t>свыше 100 л.с. (свыше 73,55 кВт)</t>
  </si>
  <si>
    <t xml:space="preserve">Яхты и другие парусно-моторные суда с мощностью двигателя: </t>
  </si>
  <si>
    <t xml:space="preserve">Гидроциклы с мощностью двигателя: </t>
  </si>
  <si>
    <t>Несамоходные (буксируемые) суда, для которых определяется валовая вместимость</t>
  </si>
  <si>
    <t>Иные водные транспортные средства</t>
  </si>
  <si>
    <t>Воздушные транспортные средства</t>
  </si>
  <si>
    <t>Сумма налога, подлежащего уплате в бюджет, в том числе по видам транспортных средств:</t>
  </si>
  <si>
    <t>Сумма налога, подлежащего уплате в бюджет, в том числе по видам транспортных средств</t>
  </si>
  <si>
    <t>Сумма транспортного налога начисленная</t>
  </si>
  <si>
    <t>Коэффициент переходящих платежей,%</t>
  </si>
  <si>
    <t>Коэффициент собираемости,%</t>
  </si>
  <si>
    <t>Транспортный налог с физических лиц</t>
  </si>
  <si>
    <t xml:space="preserve">Стоимость амортизируемого имущества </t>
  </si>
  <si>
    <t>Амортизация за год</t>
  </si>
  <si>
    <t>Стоимость имущества на конец года</t>
  </si>
  <si>
    <t xml:space="preserve">Среднегодовая стоимость имущества </t>
  </si>
  <si>
    <t xml:space="preserve">Налоговая база в виде среднегодовой стоимости имущества, тыс.руб. 
</t>
  </si>
  <si>
    <t>Налоговая база в виде кадастровой стоимости, тыс.руб.</t>
  </si>
  <si>
    <t>Доля налоговой базы в виде среднегодовой стоимости имущества для исчисления налога</t>
  </si>
  <si>
    <t>Доля налоговой базы в виде кадастровой стоимости для исчисления налога</t>
  </si>
  <si>
    <t>Ставка налога на имущество организаций, исчисленная исходя из среднегодовой стоимости,%</t>
  </si>
  <si>
    <t>Ставка налога на имущество организаций, исчисленная исходя из кадастровой стоимости, %</t>
  </si>
  <si>
    <t>Сумма налога, исчисленная к уплате в бюджет исходя из среднегодовой стоимости , тыс.руб.</t>
  </si>
  <si>
    <t>Сумма налога, исчисленная к уплате в бюджет исходя из кадастровой стоимости, тыс руб.</t>
  </si>
  <si>
    <t>Сумма налога, исчисленная к уплате в бюджет-всего , тыс.руб.</t>
  </si>
  <si>
    <t>Сумма налога, исчисленная в отношении железнодорожных путей, тыс.руб.</t>
  </si>
  <si>
    <t>Сумма налога, исчисленная к уплате в бюджет исходя из среднегодовой стоимости (без учета налога в отношении железнодорожных путей), тыс.руб.</t>
  </si>
  <si>
    <t>Сумма налога, исчисленная к уплате в бюджет-всего, с учетом корректировки  железнодорожным путям, тыс.руб</t>
  </si>
  <si>
    <t xml:space="preserve">Сумма начисленная, тыс.руб. </t>
  </si>
  <si>
    <t>Коэффициент собираемости, %</t>
  </si>
  <si>
    <t>№
п/п</t>
  </si>
  <si>
    <t>ОБЪЕКТ</t>
  </si>
  <si>
    <t>Код 
строки</t>
  </si>
  <si>
    <t>Среднесложившаяся налоговая ставка 
(за месяц),
рублей</t>
  </si>
  <si>
    <t>Сумма исчисленного налога на игорный бизнес за год,
тыс.рублей</t>
  </si>
  <si>
    <t>Количество объектов, подлежащих налогообложению, 
единицы</t>
  </si>
  <si>
    <t>Сумма исчисленного налога на игорный бизнес 
за год,
тыс.рублей</t>
  </si>
  <si>
    <t>1.</t>
  </si>
  <si>
    <t>Игровые столы</t>
  </si>
  <si>
    <t>2.</t>
  </si>
  <si>
    <t>Игровые автоматы</t>
  </si>
  <si>
    <t>3.</t>
  </si>
  <si>
    <t>Процессинговые центры тотализаторов</t>
  </si>
  <si>
    <t>4.</t>
  </si>
  <si>
    <t>Процессинговые центры букмекерских контор</t>
  </si>
  <si>
    <t>5.</t>
  </si>
  <si>
    <t>Процессинговые центры интерактивных ставок тотализаторов</t>
  </si>
  <si>
    <t>6.</t>
  </si>
  <si>
    <t>Процессинговые центры интерактивных ставок букмекерских контор</t>
  </si>
  <si>
    <t>7.</t>
  </si>
  <si>
    <t>Пункты приема ставок тотализаторов</t>
  </si>
  <si>
    <t>8.</t>
  </si>
  <si>
    <t>Пункты приема ставок букмекерских контор</t>
  </si>
  <si>
    <t>9.</t>
  </si>
  <si>
    <t>Итого, общая сумма налога на игорный бизнес, тыс. рублей
(стр. 8100= 8010+8020+8030+8040
+8050+8060+8070+8080)</t>
  </si>
  <si>
    <t>10.</t>
  </si>
  <si>
    <t>Собираемость, %</t>
  </si>
  <si>
    <t>11.</t>
  </si>
  <si>
    <t>Приложение № 15</t>
  </si>
  <si>
    <t>на 2028 год</t>
  </si>
  <si>
    <t>Оценка 2025 года</t>
  </si>
  <si>
    <t>Прогноз на 2028 год</t>
  </si>
  <si>
    <t>Оценка поступлений</t>
  </si>
  <si>
    <t>фактор f, тыс.рублей</t>
  </si>
  <si>
    <t>2024 год
(факт)</t>
  </si>
  <si>
    <t>2025 
(оценка)</t>
  </si>
  <si>
    <t>Налоговая база (кадастровая стоимость земельных участков, по которым предъявлен налог к уплате, с учетом налоговых вычетов) с применением коэффициента экстраполяции, тыс. рублей</t>
  </si>
  <si>
    <t>Земельный налог с физических лиц</t>
  </si>
  <si>
    <t>Земельный налог с организаций</t>
  </si>
  <si>
    <t>18210606030000000110</t>
  </si>
  <si>
    <r>
      <t>Количество объектов, подлежащих налогообложению (</t>
    </r>
    <r>
      <rPr>
        <b/>
        <sz val="10"/>
        <color theme="1"/>
        <rFont val="Arial"/>
        <family val="2"/>
        <charset val="204"/>
      </rPr>
      <t>на конец года</t>
    </r>
    <r>
      <rPr>
        <sz val="10"/>
        <color theme="1"/>
        <rFont val="Arial"/>
        <family val="2"/>
        <charset val="204"/>
      </rPr>
      <t>), 
единицы</t>
    </r>
  </si>
  <si>
    <t>КБК 18210605000020000110</t>
  </si>
  <si>
    <t>Приложение № 1</t>
  </si>
  <si>
    <t>Приложение № 4</t>
  </si>
  <si>
    <t>Сумма налога к уплате с учетом К собираемости и фактора f, тыс. рублей
стр.7890*стр.7897+ стр.7899</t>
  </si>
  <si>
    <t xml:space="preserve">Прогноз Минэкомразвития субъекта РФ </t>
  </si>
  <si>
    <t>стр.7805-стр.7810</t>
  </si>
  <si>
    <t xml:space="preserve">(стр.7805+стр.7815)/2 или Прогноз Минэкомразвития субъекта РФ </t>
  </si>
  <si>
    <r>
      <t xml:space="preserve">
1. В I полугодии 2025 года отчет по форме № 5-НИО за 2023 год, стр.  1400 в столбец 1;
2. Во II полугодии 2025 года отчет по форме №5-НИО за 2024 год, стр. 1400 в столбец</t>
    </r>
    <r>
      <rPr>
        <sz val="10"/>
        <color rgb="FFFF0000"/>
        <rFont val="Arial"/>
        <family val="2"/>
        <charset val="204"/>
      </rPr>
      <t xml:space="preserve">  </t>
    </r>
    <r>
      <rPr>
        <sz val="10"/>
        <rFont val="Arial"/>
        <family val="2"/>
        <charset val="204"/>
      </rPr>
      <t xml:space="preserve"> 2;
3. Прогноз - стр.7820*стр.7835 
Прогноз - с учетом сложившегося темпа</t>
    </r>
  </si>
  <si>
    <t xml:space="preserve">
1. В I полугодии 2025 года отчет по форме № 5-НИО за 2023 год, стр.  2400 в столбец 1;
2. Во II полугодии 2025 года отчет по форме №5-НИО за 2024 год, стр. 2400 в столбец  2;
3. Прогноз - стр.7820*стр.7840
Прогноз - с учетом сложившегося темпа</t>
  </si>
  <si>
    <t>стр.7825/стр.7820</t>
  </si>
  <si>
    <t>стр.7830/стр.7820</t>
  </si>
  <si>
    <t xml:space="preserve">
1. В I полугодии 2025 года отчет по форме № 5-НИО за 2023 год, стр. 1500 в столбец 1;
2. Во II полугодии 2025 года отчет по форме №5-НИО за 2024 год, стр. 1500 в столбец 2;
3. стр.7825*стр.7845
</t>
  </si>
  <si>
    <t xml:space="preserve">
1. В I полугодии 2024 года отчет по форме № 5-НИО за 2023 год, стр.2500 в столбец 1;
2. Во II полугодии 2024 года отчет по форме №5-НИО за 2024, стр. 2500 в столбец  2;
3. стр.7830*стр.7850</t>
  </si>
  <si>
    <t>стр.7855+стр.7860</t>
  </si>
  <si>
    <r>
      <t xml:space="preserve">отчет 5-НИО (за 2022), стр. </t>
    </r>
    <r>
      <rPr>
        <sz val="10"/>
        <rFont val="Arial"/>
        <family val="2"/>
        <charset val="204"/>
      </rPr>
      <t>1501;
отчет 5-НИО (за 2023), стр.1501</t>
    </r>
  </si>
  <si>
    <t>(стр.7855-стр.7870) *темп роста стоимости амортизируемого имущества</t>
  </si>
  <si>
    <t>Сумма налога, дополнительно начисленная в связи с повышением  ставки в отношении железнодрожных путей (Н жд.), тыс.руб.</t>
  </si>
  <si>
    <t>стр.7875+стр.7870-стр.7855</t>
  </si>
  <si>
    <t>стр.7865+стр.7880</t>
  </si>
  <si>
    <t>отчет 1-НМ, стр.1570 или
стр.7885*стр.7895</t>
  </si>
  <si>
    <t>стр. 7890 / стр. 7885 * 100%</t>
  </si>
  <si>
    <t xml:space="preserve">отчет по форме 1-НМ, стр.1570, 
сумма поступившего налога/  сумму начисленного налога*100%
</t>
  </si>
  <si>
    <r>
      <t>фактор f</t>
    </r>
    <r>
      <rPr>
        <sz val="12"/>
        <color theme="1"/>
        <rFont val="Times New Roman"/>
        <family val="1"/>
        <charset val="204"/>
      </rPr>
      <t>, тыс.рублей</t>
    </r>
  </si>
  <si>
    <t>Код строки</t>
  </si>
  <si>
    <t>Методика расчета данных</t>
  </si>
  <si>
    <t>стр 7945 + стр.7948</t>
  </si>
  <si>
    <t>1. В I полугодии 2025 года отчет по форме 
№ 5-МН за 2023 год, стр. 2411 в столбец 1;
2. В II полугодии 2025 года отчет по форме 
№ 5-МН за 2024 год, стр. 2411 в столбец 2;
3. Прогноз - с учетом сложившегося темпа</t>
  </si>
  <si>
    <t xml:space="preserve">стр.7930 / стр. 7915*100%         </t>
  </si>
  <si>
    <t>1. В I полугодии 2025 года отчет по форме 
№ 5-МН за 2023 год, стр. 2500 в столбец 1;
2. В II полугодии 2025 года отчет по форме 
№ 5-МН за 2024 год, стр. 2500 в столбец 2;
3. Прогноз - с учетом сложившегося темпа</t>
  </si>
  <si>
    <r>
      <t>Коэффициент собираемости</t>
    </r>
    <r>
      <rPr>
        <sz val="10"/>
        <rFont val="Arial"/>
        <family val="2"/>
        <charset val="204"/>
      </rPr>
      <t>, %</t>
    </r>
  </si>
  <si>
    <t>отчет по форме 1-НМ, стр. 1639 (суммы поступившего налога/на сумму начисленного налога * 100 %)</t>
  </si>
  <si>
    <r>
      <t>Сумма налога, подлежащая уплате в бюджет-всего, тыс.руб.(</t>
    </r>
    <r>
      <rPr>
        <u/>
        <sz val="10"/>
        <rFont val="Arial"/>
        <family val="2"/>
        <charset val="204"/>
      </rPr>
      <t>с учетом коэффициента собираемости</t>
    </r>
    <r>
      <rPr>
        <sz val="10"/>
        <rFont val="Arial"/>
        <family val="2"/>
        <charset val="204"/>
      </rPr>
      <t>)</t>
    </r>
  </si>
  <si>
    <t>стр.7915*стр.7920*стр.7935</t>
  </si>
  <si>
    <r>
      <t>Сумма земельного налога</t>
    </r>
    <r>
      <rPr>
        <u/>
        <sz val="10"/>
        <rFont val="Arial"/>
        <family val="2"/>
        <charset val="204"/>
      </rPr>
      <t xml:space="preserve"> c учетом коэффициента 1.1</t>
    </r>
    <r>
      <rPr>
        <u/>
        <vertAlign val="superscript"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 xml:space="preserve">, тыс. рублей </t>
    </r>
  </si>
  <si>
    <t xml:space="preserve">Фактор F (+/-), тыс. рублей                 </t>
  </si>
  <si>
    <t xml:space="preserve">Сумма поступившего земельного налога </t>
  </si>
  <si>
    <t xml:space="preserve">  отчет по форме№ 1-НМ, стр.1639</t>
  </si>
  <si>
    <t xml:space="preserve">
Сумма налога с учетом К собираемости и фактора f, тыс. рублей
стр.7460*стр.7465*стр.7470+стр.7475
</t>
  </si>
  <si>
    <t>*1. В I полугодии 2025 года отчет по форме 
№ 5-ТН за 2023 год стр.1300 в столбец 1,
2. Во II полугодии 2025 года отчет по форме 
№ 5-ТН за 2024 год стр.1300 в столбец 2,
3. Прогноз - с учетом сложившегося темпа</t>
  </si>
  <si>
    <t>отчет по форме 5-ТН,стр.1311</t>
  </si>
  <si>
    <t>отчет по форме 5-ТН,стр.1312</t>
  </si>
  <si>
    <t>отчет по форме 5-ТН,стр.1313</t>
  </si>
  <si>
    <t>отчет по форме 5-ТН,стр.1314</t>
  </si>
  <si>
    <t>отчет по форме 5-ТН,стр.1315</t>
  </si>
  <si>
    <t>отчет по форме 5-ТН,стр.1316</t>
  </si>
  <si>
    <t>отчет по форме 5-ТН,стр.1321</t>
  </si>
  <si>
    <t>отчет по форме 5-ТН,стр.1322</t>
  </si>
  <si>
    <t>отчет по форме 5-ТН,стр.1323</t>
  </si>
  <si>
    <t>отчет по форме 5-ТН,стр.1324</t>
  </si>
  <si>
    <t>отчет по форме 5-ТН,стр.1325</t>
  </si>
  <si>
    <t>отчет по форме 5-ТН,стр.1326</t>
  </si>
  <si>
    <t>отчет по форме 5-ТН,стр.1327</t>
  </si>
  <si>
    <t>отчет по форме 5-ТН,стр.1328</t>
  </si>
  <si>
    <t>отчет по форме 5-ТН,стр.1329</t>
  </si>
  <si>
    <t>отчет по форме 5-ТН,стр.1330</t>
  </si>
  <si>
    <t>отчет по форме 5-ТН,стр.1331</t>
  </si>
  <si>
    <t>отчет по форме 5-ТН,стр.1332</t>
  </si>
  <si>
    <t>отчет по форме 5-ТН,стр.1333</t>
  </si>
  <si>
    <t>отчет по форме 5-ТН,стр.1334</t>
  </si>
  <si>
    <t>отчет по форме 5-ТН,стр.1335</t>
  </si>
  <si>
    <t>отчет по форме 5-ТН,стр.1336</t>
  </si>
  <si>
    <t>отчет по форме 5-ТН,стр.1337</t>
  </si>
  <si>
    <t>отчет по форме 5-ТН,стр.1351</t>
  </si>
  <si>
    <t>отчет по форме 5-ТН,стр.1352</t>
  </si>
  <si>
    <t>отчет по форме 5-ТН,стр.1353</t>
  </si>
  <si>
    <t>отчет по форме 5-ТН,стр.1354</t>
  </si>
  <si>
    <t>отчет по форме 5-ТН,стр.1355</t>
  </si>
  <si>
    <t>отчет по форме 5-ТН,стр.1356</t>
  </si>
  <si>
    <t>отчет по форме 5-ТН,стр.1357</t>
  </si>
  <si>
    <t>отчет по форме 5-ТН,стр.1358</t>
  </si>
  <si>
    <t>отчет по форме 5-ТН,стр.1359</t>
  </si>
  <si>
    <t>отчет по форме 5-ТН,стр.1360</t>
  </si>
  <si>
    <t>отчет по форме 5-ТН,стр.1361</t>
  </si>
  <si>
    <t>отчет по форме 5-ТН,стр.1370</t>
  </si>
  <si>
    <t>отчет по форме 5-ТН,стр.1400</t>
  </si>
  <si>
    <t>отчет по форме 5-ТН,стр.1411</t>
  </si>
  <si>
    <t>отчет по форме 5-ТН,стр.1412</t>
  </si>
  <si>
    <t>отчет по форме 5-ТН,стр.1413</t>
  </si>
  <si>
    <t>отчет по форме 5-ТН,стр.1414</t>
  </si>
  <si>
    <t>отчет по форме 5-ТН,стр.1415</t>
  </si>
  <si>
    <t>отчет по форме 5-ТН,стр.1416</t>
  </si>
  <si>
    <t>отчет по форме 5-ТН,стр.1421</t>
  </si>
  <si>
    <t>отчет по форме 5-ТН,стр.1422</t>
  </si>
  <si>
    <t>отчет по форме 5-ТН,стр.1423</t>
  </si>
  <si>
    <t>отчет по форме 5-ТН,стр.1424</t>
  </si>
  <si>
    <t>отчет по форме 5-ТН,стр.1425</t>
  </si>
  <si>
    <t>отчет по форме 5-ТН,стр.1426</t>
  </si>
  <si>
    <t>отчет по форме 5-ТН,стр.1427</t>
  </si>
  <si>
    <t>отчет по форме 5-ТН,стр.1428</t>
  </si>
  <si>
    <t>отчет по форме 5-ТН,стр.1429</t>
  </si>
  <si>
    <t>отчет по форме 5-ТН,стр.1430</t>
  </si>
  <si>
    <t>отчет по форме 5-ТН,стр.1431</t>
  </si>
  <si>
    <t>отчет по форме 5-ТН,стр.1432</t>
  </si>
  <si>
    <t>отчет по форме 5-ТН,стр.1433</t>
  </si>
  <si>
    <t>Другие самоходные траснспортные средства, машины и механизмы на пневматическом и гусеничном ходу</t>
  </si>
  <si>
    <t>отчет по форме 5-ТН,стр.1434</t>
  </si>
  <si>
    <t>отчет по форме 5-ТН,стр.1435</t>
  </si>
  <si>
    <t>отчет по форме 5-ТН,стр.1436</t>
  </si>
  <si>
    <t>отчет по форме 5-ТН,стр.1437</t>
  </si>
  <si>
    <t>отчет по форме 5-ТН,стр.1451</t>
  </si>
  <si>
    <t>отчет по форме 5-ТН,стр.1452</t>
  </si>
  <si>
    <t>отчет по форме 5-ТН,стр.1453</t>
  </si>
  <si>
    <t>отчет по форме 5-ТН,стр.1454</t>
  </si>
  <si>
    <t>отчет по форме 5-ТН,стр.1455</t>
  </si>
  <si>
    <t>отчет по форме 5-ТН,стр.1456</t>
  </si>
  <si>
    <t>отчет по форме 5-ТН,стр.1457</t>
  </si>
  <si>
    <t>отчет по форме 5-ТН,стр.1458</t>
  </si>
  <si>
    <t>отчет по форме 5-ТН,стр.1459</t>
  </si>
  <si>
    <t>отчет по форме 5-ТН,стр.1460</t>
  </si>
  <si>
    <t>отчет по форме 5-ТН,стр.1461</t>
  </si>
  <si>
    <t>отчет по форме 5-ТН,стр.1470</t>
  </si>
  <si>
    <t>Строго данные строки 7340</t>
  </si>
  <si>
    <t>отчет 1-НМ, 
стр. 1595</t>
  </si>
  <si>
    <t>стр.7463/стр.7460*100%</t>
  </si>
  <si>
    <t>отчет 1-НМ, стр. 1595
сумма поступившего налога/сумму начисленного налога*100%</t>
  </si>
  <si>
    <t xml:space="preserve">Сумма налога с учетом К собираемости и фактора f, тыс. рублей
стр.7710*7720+7725
</t>
  </si>
  <si>
    <t>*1. В I полугодии 2025 года отчет по форме 
№ 5-ТН за 2023 год стр.2300 в столбец 1,
2. Во II полугодии 2025 года отчет по форме 
№ 5-ТН за 2024 год стр.2300 в столбец 2,
3. Прогноз - с учетом сложившегося темпа</t>
  </si>
  <si>
    <t>отчет по форме 5-ТН,стр.2311</t>
  </si>
  <si>
    <t>отчет по форме 5-ТН,стр.2312</t>
  </si>
  <si>
    <t>отчет по форме 5-ТН,стр.2313</t>
  </si>
  <si>
    <t>отчет по форме 5-ТН,стр.2314</t>
  </si>
  <si>
    <t>отчет по форме 5-ТН,стр.2315</t>
  </si>
  <si>
    <t>отчет по форме 5-ТН,стр.2316</t>
  </si>
  <si>
    <t>отчет по форме 5-ТН,стр.2321</t>
  </si>
  <si>
    <t>отчет по форме 5-ТН,стр.2322</t>
  </si>
  <si>
    <t>отчет по форме 5-ТН,стр.2323</t>
  </si>
  <si>
    <t>отчет по форме 5-ТН,стр.2324</t>
  </si>
  <si>
    <t>отчет по форме 5-ТН,стр.2325</t>
  </si>
  <si>
    <t>отчет по форме 5-ТН,стр.2326</t>
  </si>
  <si>
    <t>отчет по форме 5-ТН,стр.2327</t>
  </si>
  <si>
    <t>отчет по форме 5-ТН,стр.2328</t>
  </si>
  <si>
    <t>отчет по форме 5-ТН,стр.2329</t>
  </si>
  <si>
    <t>отчет по форме 5-ТН,стр.2330</t>
  </si>
  <si>
    <t>отчет по форме 5-ТН,стр.2331</t>
  </si>
  <si>
    <t>отчет по форме 5-ТН,стр.2332</t>
  </si>
  <si>
    <t>отчет по форме 5-ТН,стр.2333</t>
  </si>
  <si>
    <t>отчет по форме 5-ТН,стр.2334</t>
  </si>
  <si>
    <t>отчет по форме 5-ТН,стр.2335</t>
  </si>
  <si>
    <t>отчет по форме 5-ТН,стр.2336</t>
  </si>
  <si>
    <t>отчет по форме 5-ТН,стр.2337</t>
  </si>
  <si>
    <t>отчет по форме 5-ТН,стр.2341</t>
  </si>
  <si>
    <t>отчет по форме 5-ТН,стр.2342</t>
  </si>
  <si>
    <t>отчет по форме 5-ТН,стр.2343</t>
  </si>
  <si>
    <t>отчет по форме 5-ТН,стр.2344</t>
  </si>
  <si>
    <t>отчет по форме 5-ТН,стр.2345</t>
  </si>
  <si>
    <t>отчет по форме 5-ТН,стр.2346</t>
  </si>
  <si>
    <t>отчет по форме 5-ТН,стр.2347</t>
  </si>
  <si>
    <t>отчет по форме 5-ТН,стр.2348</t>
  </si>
  <si>
    <t>отчет по форме 5-ТН,стр.2349</t>
  </si>
  <si>
    <t>отчет по форме 5-ТН,стр.2350</t>
  </si>
  <si>
    <t>отчет по форме 5-ТН,стр.2351</t>
  </si>
  <si>
    <t>отчет по форме 5-ТН,стр.2360</t>
  </si>
  <si>
    <t>отчет по форме 5-ТН,стр.2400</t>
  </si>
  <si>
    <t>отчет по форме 5-ТН,стр.2411</t>
  </si>
  <si>
    <t>отчет по форме 5-ТН,стр.2412</t>
  </si>
  <si>
    <t>отчет по форме 5-ТН,стр.2413</t>
  </si>
  <si>
    <t>отчет по форме 5-ТН,стр.2414</t>
  </si>
  <si>
    <t>отчет по форме 5-ТН,стр.2415</t>
  </si>
  <si>
    <t>отчет по форме 5-ТН,стр.2416</t>
  </si>
  <si>
    <t>отчет по форме 5-ТН,стр.2421</t>
  </si>
  <si>
    <t>отчет по форме 5-ТН,стр.2422</t>
  </si>
  <si>
    <t>отчет по форме 5-ТН,стр.2423</t>
  </si>
  <si>
    <t>отчет по форме 5-ТН,стр.2424</t>
  </si>
  <si>
    <t>отчет по форме 5-ТН,стр.2425</t>
  </si>
  <si>
    <t>отчет по форме 5-ТН,стр.2426</t>
  </si>
  <si>
    <t>отчет по форме 5-ТН,стр.2427</t>
  </si>
  <si>
    <t>отчет по форме 5-ТН,стр.2428</t>
  </si>
  <si>
    <t>отчет по форме 5-ТНстр.2429</t>
  </si>
  <si>
    <t>отчет по форме 5-ТН,стр.2430</t>
  </si>
  <si>
    <t>отчет по форме 5-ТН,стр.2431</t>
  </si>
  <si>
    <t>отчет по форме 5-ТН,стр.2432</t>
  </si>
  <si>
    <t>отчет по форме 5-ТН,стр.2433</t>
  </si>
  <si>
    <t>отчет по форме 5-ТН,стр.2434</t>
  </si>
  <si>
    <t>отчет по форме 5-ТН,стр.2435</t>
  </si>
  <si>
    <t>отчет по форме 5-ТН,стр.2436</t>
  </si>
  <si>
    <t>отчет по форме 5-ТН,стр.2437</t>
  </si>
  <si>
    <t>отчет по форме 5-ТН,стр.2441</t>
  </si>
  <si>
    <t>отчет по форме 5-ТН,стр.2442</t>
  </si>
  <si>
    <t>отчет по форме 5-ТН,стр.2443</t>
  </si>
  <si>
    <t>отчет по форме 5-ТН,стр.2444</t>
  </si>
  <si>
    <t>отчет по форме 5-ТН,стр.2445</t>
  </si>
  <si>
    <t>отчет по форме 5-ТН,стр.2446</t>
  </si>
  <si>
    <t>отчет по форме 5-ТН,стр.2447</t>
  </si>
  <si>
    <t>отчет по форме 5-ТН,стр.2448</t>
  </si>
  <si>
    <t>отчет по форме 5-ТН,стр.2449</t>
  </si>
  <si>
    <t>отчет по форме 5-ТН,стр.2450</t>
  </si>
  <si>
    <t>отчет по форме 5-ТН,стр.2451</t>
  </si>
  <si>
    <t>отчет по форме 5-ТН,стр.2460</t>
  </si>
  <si>
    <t>Строго данные строки 7598</t>
  </si>
  <si>
    <t>отчет 1-НМ, стр.1600</t>
  </si>
  <si>
    <t>отчет 1-НМ, стр.1600
сумма поступившего налога/сумму начисленного налога*100%</t>
  </si>
  <si>
    <t>стр.7955*7960*7975*7980+стр.7985</t>
  </si>
  <si>
    <t>1. В I полугодии 2025 года отчет по форме 
№ 5-МН за 2023 год, стр. 1500 в столбец 1;
2. В II полугодии 2025 года отчет по форме 
№ 5-МН за 2024 год, стр. 1500 в столбец 2;
3. Прогноз - с учетом сложившегося темпа</t>
  </si>
  <si>
    <t xml:space="preserve">  стр.7965 / стр.7955*100%</t>
  </si>
  <si>
    <t>1. В I полугодии 2025 года отчет по форме 
№ 5-МН за 2023 год, стр. 1600 в столбец 1;
2. В II полугодии 2025 года отчет по форме 
№ 5-МН за 2024 год, стр. 1600 в столбец 2;
3. Прогноз - с учетом сложившегося темпа</t>
  </si>
  <si>
    <t>отчет 1-НМ, 
стр. 1622</t>
  </si>
  <si>
    <t>стр. 7970 / стр.7965 * 100%</t>
  </si>
  <si>
    <t>отчет по форме  1-НМ стр.1622 (суммы поступившего налога/на сумму начисленного налога * 100)</t>
  </si>
  <si>
    <r>
      <t xml:space="preserve">Сумма налога к уплате с учетом К собираемости и фактора f, тыс. рублей
</t>
    </r>
    <r>
      <rPr>
        <b/>
        <sz val="10"/>
        <rFont val="Arial"/>
        <family val="2"/>
        <charset val="204"/>
      </rPr>
      <t>стр.</t>
    </r>
    <r>
      <rPr>
        <b/>
        <strike/>
        <sz val="10"/>
        <rFont val="Arial"/>
        <family val="2"/>
        <charset val="204"/>
      </rPr>
      <t xml:space="preserve"> </t>
    </r>
    <r>
      <rPr>
        <b/>
        <sz val="10"/>
        <rFont val="Arial"/>
        <family val="2"/>
        <charset val="204"/>
      </rPr>
      <t>7120*7155+7160</t>
    </r>
  </si>
  <si>
    <t>1. В I полугодии 2025 года отчет по форме № 5-МН за 2023 год, стр. 3411 в столбец 1;
2. Во II полугодии 2025 года отчет по форме №5-МН за 2024, стр. 3411 в столбец 2;
3. Прогноз - с учетом сложившегося темпа</t>
  </si>
  <si>
    <r>
      <t>Средняя ставка по кадастровой стоимости,</t>
    </r>
    <r>
      <rPr>
        <sz val="12"/>
        <color theme="1"/>
        <rFont val="Times New Roman"/>
        <family val="1"/>
        <charset val="204"/>
      </rPr>
      <t>%</t>
    </r>
  </si>
  <si>
    <t xml:space="preserve">
стр.7120/стр.7110*100%
</t>
  </si>
  <si>
    <r>
      <t>Сумма налога, подлежащая уплате в бюджет</t>
    </r>
    <r>
      <rPr>
        <sz val="10"/>
        <color theme="1"/>
        <rFont val="Arial"/>
        <family val="2"/>
        <charset val="204"/>
      </rPr>
      <t xml:space="preserve">, тыс. рублей </t>
    </r>
  </si>
  <si>
    <t>1. В I полугодии 2025 года отчет по форме № 5-МН за 2023 год, стр. 3500 в столбец 1;
2. В II полугодии 2025 года отчет по форме № 5-МН за 2024, стр. 3500 в столбец 2;
3. Прогноз: стр.7110*стр.7115</t>
  </si>
  <si>
    <t xml:space="preserve">отчет по форме 1-НМ, стр.1520 
</t>
  </si>
  <si>
    <r>
      <t>Коэффициент собираемости</t>
    </r>
    <r>
      <rPr>
        <sz val="12"/>
        <color theme="1"/>
        <rFont val="Times New Roman"/>
        <family val="1"/>
        <charset val="204"/>
      </rPr>
      <t>,</t>
    </r>
    <r>
      <rPr>
        <b/>
        <sz val="12"/>
        <color theme="1"/>
        <rFont val="Times New Roman"/>
        <family val="1"/>
        <charset val="204"/>
      </rPr>
      <t>%</t>
    </r>
  </si>
  <si>
    <t xml:space="preserve">отчет по форме 1-НМ, стр.1520, 
сумма поступившего налога/  сумм начисленного налога*100%
</t>
  </si>
  <si>
    <t>Прогноз поступлений</t>
  </si>
  <si>
    <t xml:space="preserve">В рамках «Регламента взаимодействия Министерства финансов Российской Федерации и Федеральной налоговой службы по вопросам механизма доведения до финансовых органов субъектов Российской Федерации сведений об оценке и прогнозе поступлений отдельных видов доходов, подлежащих распределению между субъектами Российской Федерации по дифференцированным нормативам Бюджетного кодекса Российской Федерации, а также предоставления аналитических материалов и сведений для составления и ведения кассового плана по указанным доходам» </t>
  </si>
  <si>
    <t xml:space="preserve"> Письмо ФНС России от 16.07.2025 № 1-1-06/0085@ </t>
  </si>
  <si>
    <t xml:space="preserve">В рамках пункта 10 Раздела III Регламента взаимодействия Министерства финансов РФ и Федеральной налоговой службы </t>
  </si>
  <si>
    <t xml:space="preserve">В рамках пункта 6.1 Раздела II Регламента взаимодействия Министерства финансов Российской Федерации и Федеральной налоговой службы представлена предварительная информация о прогнозе поступлений доходов на 2026-2028 гг. по распределяемым видам доходов (акцизам и суммам пеней), подлежащих зачислению в консолидированный бюджет Новосибирской области по действующим на 2025-2027 годы нормативам, утвержденным Федеральным законом от 30.11.2024 </t>
  </si>
  <si>
    <t>Письмо ФНС России от 11.07.2025
№ 1-1-06/0083@</t>
  </si>
  <si>
    <t>Приложение № 5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</si>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</sst>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0.0"/>
    <numFmt numFmtId="168" formatCode="#,##0.00\ &quot;₽&quot;"/>
    <numFmt numFmtId="169" formatCode="#,##0.0"/>
    <numFmt numFmtId="170" formatCode="_-* #,##0\ _₽_-;\-* #,##0\ _₽_-;_-* &quot;-&quot;??\ _₽_-;_-@_-"/>
    <numFmt numFmtId="171" formatCode="&quot;$&quot;#,##0\ ;\(&quot;$&quot;#,##0\)"/>
    <numFmt numFmtId="172" formatCode="_-* #,##0.00[$€-1]_-;\-* #,##0.00[$€-1]_-;_-* &quot;-&quot;??[$€-1]_-"/>
    <numFmt numFmtId="173" formatCode="_(* #,##0.00000000000_);_(* \(#,##0.00000000000\);_(* &quot;-&quot;??_);_(@_)"/>
    <numFmt numFmtId="174" formatCode="#,##0.00000_);[Red]\(#,##0.00000\)"/>
    <numFmt numFmtId="175" formatCode="_(* #,##0.000000000000_);_(* \(#,##0.000000000000\);_(* &quot;-&quot;??_);_(@_)"/>
    <numFmt numFmtId="176" formatCode="[$$-409]#,##0.00_ ;\-[$$-409]#,##0.00\ "/>
    <numFmt numFmtId="177" formatCode="0.0000"/>
    <numFmt numFmtId="178" formatCode="0.000"/>
    <numFmt numFmtId="179" formatCode="_-* #,##0.000\ _₽_-;\-* #,##0.000\ _₽_-;_-* &quot;-&quot;??\ _₽_-;_-@_-"/>
  </numFmts>
  <fonts count="8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4"/>
      <name val="Arial Cyr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20"/>
      <name val="Times New Roman"/>
      <family val="1"/>
      <charset val="204"/>
    </font>
    <font>
      <sz val="1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 Cyr"/>
      <charset val="204"/>
    </font>
    <font>
      <sz val="18"/>
      <color theme="3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Helv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sz val="10"/>
      <name val="Times New Roman CYR"/>
      <charset val="204"/>
    </font>
    <font>
      <sz val="8"/>
      <color indexed="24"/>
      <name val="Pragmatica"/>
    </font>
    <font>
      <sz val="10"/>
      <color theme="1"/>
      <name val="Arial Cyr"/>
      <family val="2"/>
      <charset val="204"/>
    </font>
    <font>
      <b/>
      <sz val="11"/>
      <color theme="1"/>
      <name val="Calibri"/>
      <family val="2"/>
      <scheme val="minor"/>
    </font>
    <font>
      <i/>
      <sz val="8"/>
      <color indexed="23"/>
      <name val="Calibri"/>
      <family val="2"/>
      <scheme val="minor"/>
    </font>
    <font>
      <i/>
      <sz val="8"/>
      <color indexed="23"/>
      <name val="Arial Cyr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"/>
      <family val="2"/>
      <charset val="204"/>
    </font>
    <font>
      <sz val="11"/>
      <color indexed="62"/>
      <name val="Calibri"/>
      <family val="2"/>
      <scheme val="minor"/>
    </font>
    <font>
      <sz val="11"/>
      <name val="Calibri"/>
      <family val="2"/>
      <scheme val="minor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b/>
      <sz val="14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20"/>
      <color theme="1"/>
      <name val="Calibri"/>
      <family val="2"/>
      <charset val="204"/>
    </font>
    <font>
      <sz val="14"/>
      <color theme="1"/>
      <name val="Calibri"/>
      <family val="2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  <font>
      <u/>
      <vertAlign val="superscript"/>
      <sz val="10"/>
      <name val="Arial"/>
      <family val="2"/>
      <charset val="204"/>
    </font>
    <font>
      <i/>
      <sz val="10"/>
      <name val="Arial"/>
      <family val="2"/>
      <charset val="204"/>
    </font>
    <font>
      <i/>
      <sz val="14"/>
      <name val="Arial"/>
      <family val="2"/>
      <charset val="204"/>
    </font>
    <font>
      <b/>
      <sz val="10"/>
      <name val="Arial"/>
      <family val="2"/>
      <charset val="204"/>
    </font>
    <font>
      <sz val="10"/>
      <name val="Calibri"/>
      <family val="2"/>
      <scheme val="minor"/>
    </font>
    <font>
      <b/>
      <strike/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Arial Cyr"/>
      <charset val="204"/>
    </font>
    <font>
      <sz val="14"/>
      <name val="Arial Cyr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darkTrellis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1"/>
        <bgColor indexed="64"/>
      </patternFill>
    </fill>
    <fill>
      <patternFill patternType="solid">
        <fgColor indexed="51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192">
    <xf numFmtId="0" fontId="0" fillId="0" borderId="0"/>
    <xf numFmtId="0" fontId="10" fillId="0" borderId="0"/>
    <xf numFmtId="164" fontId="12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5" fillId="0" borderId="0"/>
    <xf numFmtId="43" fontId="25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6" fillId="0" borderId="0"/>
    <xf numFmtId="0" fontId="5" fillId="0" borderId="0"/>
    <xf numFmtId="0" fontId="25" fillId="0" borderId="0"/>
    <xf numFmtId="0" fontId="4" fillId="0" borderId="0"/>
    <xf numFmtId="0" fontId="12" fillId="0" borderId="0"/>
    <xf numFmtId="164" fontId="12" fillId="0" borderId="0" applyFont="0" applyFill="0" applyBorder="0" applyAlignment="0" applyProtection="0"/>
    <xf numFmtId="0" fontId="24" fillId="0" borderId="0"/>
    <xf numFmtId="0" fontId="36" fillId="0" borderId="0"/>
    <xf numFmtId="0" fontId="24" fillId="0" borderId="0"/>
    <xf numFmtId="0" fontId="38" fillId="0" borderId="0" applyNumberFormat="0" applyFill="0" applyBorder="0" applyAlignment="0" applyProtection="0"/>
    <xf numFmtId="0" fontId="39" fillId="4" borderId="61" applyNumberFormat="0" applyFont="0" applyAlignment="0" applyProtection="0"/>
    <xf numFmtId="0" fontId="24" fillId="0" borderId="0"/>
    <xf numFmtId="0" fontId="24" fillId="0" borderId="0"/>
    <xf numFmtId="43" fontId="3" fillId="0" borderId="0" applyFont="0" applyFill="0" applyBorder="0" applyAlignment="0" applyProtection="0"/>
    <xf numFmtId="0" fontId="12" fillId="0" borderId="0"/>
    <xf numFmtId="0" fontId="24" fillId="0" borderId="0"/>
    <xf numFmtId="0" fontId="41" fillId="0" borderId="0"/>
    <xf numFmtId="0" fontId="41" fillId="0" borderId="0"/>
    <xf numFmtId="0" fontId="24" fillId="0" borderId="0"/>
    <xf numFmtId="0" fontId="24" fillId="0" borderId="0"/>
    <xf numFmtId="0" fontId="41" fillId="0" borderId="0"/>
    <xf numFmtId="0" fontId="24" fillId="0" borderId="0"/>
    <xf numFmtId="0" fontId="24" fillId="0" borderId="0"/>
    <xf numFmtId="0" fontId="10" fillId="0" borderId="0" applyNumberFormat="0" applyFill="0" applyBorder="0" applyAlignment="0" applyProtection="0"/>
    <xf numFmtId="0" fontId="41" fillId="0" borderId="0"/>
    <xf numFmtId="0" fontId="41" fillId="0" borderId="0"/>
    <xf numFmtId="0" fontId="41" fillId="0" borderId="0"/>
    <xf numFmtId="0" fontId="24" fillId="0" borderId="0"/>
    <xf numFmtId="0" fontId="41" fillId="0" borderId="0"/>
    <xf numFmtId="0" fontId="24" fillId="0" borderId="0"/>
    <xf numFmtId="0" fontId="2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1" fillId="0" borderId="0"/>
    <xf numFmtId="0" fontId="24" fillId="0" borderId="0"/>
    <xf numFmtId="3" fontId="42" fillId="0" borderId="0" applyFont="0" applyFill="0" applyBorder="0" applyAlignment="0" applyProtection="0"/>
    <xf numFmtId="171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15" fontId="43" fillId="0" borderId="0"/>
    <xf numFmtId="172" fontId="40" fillId="0" borderId="0" applyFont="0" applyFill="0" applyBorder="0" applyAlignment="0" applyProtection="0"/>
    <xf numFmtId="2" fontId="42" fillId="0" borderId="0" applyFont="0" applyFill="0" applyBorder="0" applyAlignment="0" applyProtection="0"/>
    <xf numFmtId="0" fontId="44" fillId="0" borderId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173" fontId="47" fillId="0" borderId="0"/>
    <xf numFmtId="4" fontId="48" fillId="5" borderId="0">
      <alignment horizontal="right"/>
    </xf>
    <xf numFmtId="0" fontId="10" fillId="0" borderId="0"/>
    <xf numFmtId="0" fontId="42" fillId="0" borderId="83" applyNumberFormat="0" applyFont="0" applyFill="0" applyAlignment="0" applyProtection="0"/>
    <xf numFmtId="174" fontId="47" fillId="0" borderId="0">
      <alignment horizontal="center"/>
    </xf>
    <xf numFmtId="175" fontId="47" fillId="0" borderId="0"/>
    <xf numFmtId="176" fontId="10" fillId="0" borderId="0">
      <alignment horizontal="center"/>
    </xf>
    <xf numFmtId="0" fontId="25" fillId="0" borderId="1" applyNumberFormat="0">
      <alignment horizontal="right" vertical="top"/>
    </xf>
    <xf numFmtId="0" fontId="49" fillId="0" borderId="1" applyNumberFormat="0">
      <alignment horizontal="right" vertical="top"/>
    </xf>
    <xf numFmtId="0" fontId="10" fillId="0" borderId="84" applyNumberFormat="0">
      <alignment horizontal="right" vertical="top"/>
    </xf>
    <xf numFmtId="0" fontId="49" fillId="0" borderId="1" applyNumberFormat="0">
      <alignment horizontal="right" vertical="top"/>
    </xf>
    <xf numFmtId="0" fontId="2" fillId="0" borderId="1" applyNumberFormat="0">
      <alignment horizontal="right" vertical="top"/>
    </xf>
    <xf numFmtId="0" fontId="2" fillId="0" borderId="1" applyNumberFormat="0">
      <alignment horizontal="right" vertical="top"/>
    </xf>
    <xf numFmtId="0" fontId="10" fillId="0" borderId="84" applyNumberFormat="0">
      <alignment horizontal="right" vertical="top"/>
    </xf>
    <xf numFmtId="0" fontId="25" fillId="0" borderId="1" applyNumberFormat="0">
      <alignment horizontal="right" vertical="top"/>
    </xf>
    <xf numFmtId="0" fontId="12" fillId="0" borderId="84" applyNumberFormat="0">
      <alignment horizontal="right" vertical="top"/>
    </xf>
    <xf numFmtId="0" fontId="25" fillId="6" borderId="1" applyNumberFormat="0">
      <alignment horizontal="right" vertical="top"/>
    </xf>
    <xf numFmtId="49" fontId="25" fillId="7" borderId="1">
      <alignment horizontal="left" vertical="top"/>
    </xf>
    <xf numFmtId="49" fontId="50" fillId="0" borderId="1">
      <alignment horizontal="left" vertical="top"/>
    </xf>
    <xf numFmtId="49" fontId="49" fillId="7" borderId="1">
      <alignment horizontal="left" vertical="top"/>
    </xf>
    <xf numFmtId="49" fontId="2" fillId="7" borderId="1">
      <alignment horizontal="left" vertical="top"/>
    </xf>
    <xf numFmtId="49" fontId="2" fillId="7" borderId="1">
      <alignment horizontal="left" vertical="top"/>
    </xf>
    <xf numFmtId="49" fontId="10" fillId="8" borderId="84">
      <alignment horizontal="left" vertical="top"/>
    </xf>
    <xf numFmtId="49" fontId="10" fillId="8" borderId="84">
      <alignment horizontal="left" vertical="top"/>
    </xf>
    <xf numFmtId="49" fontId="12" fillId="8" borderId="84">
      <alignment horizontal="left" vertical="top"/>
    </xf>
    <xf numFmtId="0" fontId="25" fillId="9" borderId="1">
      <alignment horizontal="left" vertical="top" wrapText="1"/>
    </xf>
    <xf numFmtId="0" fontId="49" fillId="9" borderId="1">
      <alignment horizontal="left" vertical="top" wrapText="1"/>
    </xf>
    <xf numFmtId="0" fontId="2" fillId="9" borderId="1">
      <alignment horizontal="left" vertical="top" wrapText="1"/>
    </xf>
    <xf numFmtId="0" fontId="2" fillId="9" borderId="1">
      <alignment horizontal="left" vertical="top" wrapText="1"/>
    </xf>
    <xf numFmtId="0" fontId="10" fillId="10" borderId="84">
      <alignment horizontal="left" vertical="top" wrapText="1"/>
    </xf>
    <xf numFmtId="0" fontId="12" fillId="10" borderId="84">
      <alignment horizontal="left" vertical="top" wrapText="1"/>
    </xf>
    <xf numFmtId="0" fontId="50" fillId="0" borderId="1">
      <alignment horizontal="left" vertical="top" wrapText="1"/>
    </xf>
    <xf numFmtId="0" fontId="25" fillId="11" borderId="1">
      <alignment horizontal="left" vertical="top" wrapText="1"/>
    </xf>
    <xf numFmtId="0" fontId="25" fillId="12" borderId="1">
      <alignment horizontal="left" vertical="top" wrapText="1"/>
    </xf>
    <xf numFmtId="0" fontId="25" fillId="13" borderId="1">
      <alignment horizontal="left" vertical="top" wrapText="1"/>
    </xf>
    <xf numFmtId="0" fontId="49" fillId="13" borderId="1">
      <alignment horizontal="left" vertical="top" wrapText="1"/>
    </xf>
    <xf numFmtId="0" fontId="10" fillId="14" borderId="84">
      <alignment horizontal="left" vertical="top" wrapText="1"/>
    </xf>
    <xf numFmtId="0" fontId="25" fillId="0" borderId="1">
      <alignment horizontal="left" vertical="top" wrapText="1"/>
    </xf>
    <xf numFmtId="0" fontId="49" fillId="15" borderId="1">
      <alignment horizontal="left" vertical="top" wrapText="1"/>
    </xf>
    <xf numFmtId="0" fontId="2" fillId="15" borderId="1">
      <alignment horizontal="left" vertical="top" wrapText="1"/>
    </xf>
    <xf numFmtId="0" fontId="10" fillId="14" borderId="84">
      <alignment horizontal="left" vertical="top" wrapText="1"/>
    </xf>
    <xf numFmtId="0" fontId="10" fillId="14" borderId="84">
      <alignment horizontal="left" vertical="top" wrapText="1"/>
    </xf>
    <xf numFmtId="0" fontId="51" fillId="0" borderId="0">
      <alignment horizontal="left" vertical="top"/>
    </xf>
    <xf numFmtId="0" fontId="52" fillId="0" borderId="0">
      <alignment horizontal="left" vertical="top"/>
    </xf>
    <xf numFmtId="0" fontId="53" fillId="0" borderId="0">
      <alignment horizontal="left" vertical="top"/>
    </xf>
    <xf numFmtId="0" fontId="54" fillId="0" borderId="0">
      <alignment horizontal="left" vertical="top"/>
    </xf>
    <xf numFmtId="0" fontId="25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9" borderId="85" applyNumberFormat="0">
      <alignment horizontal="right" vertical="top"/>
    </xf>
    <xf numFmtId="0" fontId="25" fillId="11" borderId="85" applyNumberFormat="0">
      <alignment horizontal="right" vertical="top"/>
    </xf>
    <xf numFmtId="0" fontId="25" fillId="0" borderId="1" applyNumberFormat="0">
      <alignment horizontal="right" vertical="top"/>
    </xf>
    <xf numFmtId="0" fontId="25" fillId="0" borderId="1" applyNumberFormat="0">
      <alignment horizontal="right" vertical="top"/>
    </xf>
    <xf numFmtId="0" fontId="25" fillId="12" borderId="85" applyNumberFormat="0">
      <alignment horizontal="right" vertical="top"/>
    </xf>
    <xf numFmtId="0" fontId="25" fillId="0" borderId="1" applyNumberFormat="0">
      <alignment horizontal="right" vertical="top"/>
    </xf>
    <xf numFmtId="49" fontId="55" fillId="16" borderId="1">
      <alignment horizontal="left" vertical="top" wrapText="1"/>
    </xf>
    <xf numFmtId="49" fontId="56" fillId="0" borderId="1">
      <alignment horizontal="left" vertical="top" wrapText="1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14" borderId="84">
      <alignment horizontal="left" vertical="top" wrapText="1"/>
    </xf>
    <xf numFmtId="0" fontId="25" fillId="0" borderId="1">
      <alignment horizontal="left" vertical="top" wrapText="1"/>
    </xf>
    <xf numFmtId="0" fontId="49" fillId="15" borderId="1">
      <alignment horizontal="left" vertical="top" wrapText="1"/>
    </xf>
    <xf numFmtId="0" fontId="2" fillId="15" borderId="1">
      <alignment horizontal="left" vertical="top" wrapText="1"/>
    </xf>
    <xf numFmtId="0" fontId="2" fillId="15" borderId="1">
      <alignment horizontal="left" vertical="top" wrapText="1"/>
    </xf>
    <xf numFmtId="0" fontId="10" fillId="14" borderId="84">
      <alignment horizontal="left" vertical="top" wrapText="1"/>
    </xf>
    <xf numFmtId="0" fontId="2" fillId="15" borderId="1">
      <alignment horizontal="left" vertical="top" wrapText="1"/>
    </xf>
    <xf numFmtId="0" fontId="12" fillId="14" borderId="84">
      <alignment horizontal="left" vertical="top" wrapText="1"/>
    </xf>
    <xf numFmtId="0" fontId="12" fillId="14" borderId="84">
      <alignment horizontal="left" vertical="top" wrapText="1"/>
    </xf>
    <xf numFmtId="0" fontId="58" fillId="0" borderId="0"/>
    <xf numFmtId="43" fontId="12" fillId="0" borderId="0" applyFont="0" applyFill="0" applyBorder="0" applyAlignment="0" applyProtection="0"/>
  </cellStyleXfs>
  <cellXfs count="437">
    <xf numFmtId="0" fontId="0" fillId="0" borderId="0" xfId="0"/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15" fillId="0" borderId="5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wrapText="1"/>
    </xf>
    <xf numFmtId="0" fontId="11" fillId="0" borderId="34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15" fillId="0" borderId="3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left" vertical="center" wrapText="1"/>
    </xf>
    <xf numFmtId="0" fontId="17" fillId="0" borderId="20" xfId="0" applyFont="1" applyBorder="1" applyAlignment="1">
      <alignment horizontal="left" vertical="center" wrapText="1"/>
    </xf>
    <xf numFmtId="166" fontId="13" fillId="0" borderId="21" xfId="2" applyNumberFormat="1" applyFont="1" applyBorder="1" applyAlignment="1">
      <alignment horizontal="center" vertical="center" wrapText="1"/>
    </xf>
    <xf numFmtId="167" fontId="13" fillId="0" borderId="23" xfId="0" applyNumberFormat="1" applyFont="1" applyBorder="1" applyAlignment="1">
      <alignment horizontal="center" vertical="center"/>
    </xf>
    <xf numFmtId="3" fontId="13" fillId="0" borderId="23" xfId="0" applyNumberFormat="1" applyFont="1" applyFill="1" applyBorder="1" applyAlignment="1">
      <alignment horizontal="center" vertical="center" wrapText="1"/>
    </xf>
    <xf numFmtId="3" fontId="13" fillId="0" borderId="37" xfId="0" applyNumberFormat="1" applyFont="1" applyFill="1" applyBorder="1" applyAlignment="1">
      <alignment horizontal="center" vertical="center" wrapText="1"/>
    </xf>
    <xf numFmtId="165" fontId="13" fillId="0" borderId="24" xfId="0" applyNumberFormat="1" applyFont="1" applyBorder="1" applyAlignment="1">
      <alignment horizontal="center" vertical="center"/>
    </xf>
    <xf numFmtId="167" fontId="18" fillId="0" borderId="12" xfId="0" applyNumberFormat="1" applyFont="1" applyBorder="1" applyAlignment="1">
      <alignment horizontal="center" vertical="center"/>
    </xf>
    <xf numFmtId="3" fontId="18" fillId="0" borderId="39" xfId="0" applyNumberFormat="1" applyFont="1" applyFill="1" applyBorder="1" applyAlignment="1">
      <alignment horizontal="center" vertical="center" wrapText="1"/>
    </xf>
    <xf numFmtId="3" fontId="18" fillId="0" borderId="12" xfId="0" applyNumberFormat="1" applyFont="1" applyFill="1" applyBorder="1" applyAlignment="1">
      <alignment horizontal="center" vertical="center" wrapText="1"/>
    </xf>
    <xf numFmtId="165" fontId="18" fillId="0" borderId="32" xfId="0" applyNumberFormat="1" applyFont="1" applyBorder="1" applyAlignment="1">
      <alignment horizontal="center" vertical="center"/>
    </xf>
    <xf numFmtId="167" fontId="18" fillId="0" borderId="1" xfId="0" applyNumberFormat="1" applyFont="1" applyBorder="1" applyAlignment="1">
      <alignment horizontal="center" vertical="center"/>
    </xf>
    <xf numFmtId="3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167" fontId="18" fillId="0" borderId="23" xfId="0" applyNumberFormat="1" applyFont="1" applyBorder="1" applyAlignment="1">
      <alignment horizontal="center" vertical="center"/>
    </xf>
    <xf numFmtId="3" fontId="18" fillId="0" borderId="23" xfId="0" applyNumberFormat="1" applyFont="1" applyFill="1" applyBorder="1" applyAlignment="1">
      <alignment horizontal="center" vertical="center" wrapText="1"/>
    </xf>
    <xf numFmtId="3" fontId="18" fillId="0" borderId="37" xfId="0" applyNumberFormat="1" applyFont="1" applyFill="1" applyBorder="1" applyAlignment="1">
      <alignment horizontal="center" vertical="center" wrapText="1"/>
    </xf>
    <xf numFmtId="165" fontId="18" fillId="0" borderId="47" xfId="0" applyNumberFormat="1" applyFont="1" applyBorder="1" applyAlignment="1">
      <alignment horizontal="center" vertical="center"/>
    </xf>
    <xf numFmtId="166" fontId="18" fillId="0" borderId="15" xfId="2" applyNumberFormat="1" applyFont="1" applyBorder="1" applyAlignment="1">
      <alignment horizontal="center" vertical="center" wrapText="1"/>
    </xf>
    <xf numFmtId="167" fontId="18" fillId="0" borderId="7" xfId="0" applyNumberFormat="1" applyFont="1" applyBorder="1" applyAlignment="1">
      <alignment horizontal="center" vertical="center"/>
    </xf>
    <xf numFmtId="165" fontId="18" fillId="0" borderId="48" xfId="0" applyNumberFormat="1" applyFont="1" applyBorder="1" applyAlignment="1">
      <alignment horizontal="center" vertical="center"/>
    </xf>
    <xf numFmtId="167" fontId="18" fillId="0" borderId="22" xfId="0" applyNumberFormat="1" applyFont="1" applyBorder="1" applyAlignment="1">
      <alignment horizontal="center" vertical="center"/>
    </xf>
    <xf numFmtId="166" fontId="18" fillId="0" borderId="6" xfId="2" applyNumberFormat="1" applyFont="1" applyBorder="1" applyAlignment="1">
      <alignment horizontal="center" vertical="center" wrapText="1"/>
    </xf>
    <xf numFmtId="3" fontId="18" fillId="0" borderId="0" xfId="0" applyNumberFormat="1" applyFont="1" applyFill="1" applyBorder="1" applyAlignment="1">
      <alignment horizontal="center" vertical="center" wrapText="1"/>
    </xf>
    <xf numFmtId="166" fontId="18" fillId="0" borderId="3" xfId="2" applyNumberFormat="1" applyFont="1" applyBorder="1" applyAlignment="1">
      <alignment horizontal="center" vertical="center" wrapText="1"/>
    </xf>
    <xf numFmtId="3" fontId="18" fillId="0" borderId="40" xfId="0" applyNumberFormat="1" applyFont="1" applyFill="1" applyBorder="1" applyAlignment="1">
      <alignment horizontal="center" vertical="center" wrapText="1"/>
    </xf>
    <xf numFmtId="3" fontId="18" fillId="0" borderId="38" xfId="0" applyNumberFormat="1" applyFont="1" applyFill="1" applyBorder="1" applyAlignment="1">
      <alignment horizontal="center" vertical="center" wrapText="1"/>
    </xf>
    <xf numFmtId="166" fontId="18" fillId="0" borderId="21" xfId="2" applyNumberFormat="1" applyFont="1" applyBorder="1" applyAlignment="1">
      <alignment horizontal="center" vertical="center" wrapText="1"/>
    </xf>
    <xf numFmtId="3" fontId="18" fillId="0" borderId="21" xfId="0" applyNumberFormat="1" applyFont="1" applyFill="1" applyBorder="1" applyAlignment="1">
      <alignment horizontal="center" vertical="center" wrapText="1"/>
    </xf>
    <xf numFmtId="166" fontId="18" fillId="0" borderId="17" xfId="2" applyNumberFormat="1" applyFont="1" applyBorder="1" applyAlignment="1">
      <alignment horizontal="center" vertical="center" wrapText="1"/>
    </xf>
    <xf numFmtId="3" fontId="18" fillId="0" borderId="17" xfId="0" applyNumberFormat="1" applyFont="1" applyFill="1" applyBorder="1" applyAlignment="1">
      <alignment horizontal="center" vertical="center" wrapText="1"/>
    </xf>
    <xf numFmtId="3" fontId="18" fillId="0" borderId="9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Fill="1" applyBorder="1" applyAlignment="1">
      <alignment horizontal="center" vertical="center" wrapText="1"/>
    </xf>
    <xf numFmtId="167" fontId="18" fillId="0" borderId="8" xfId="0" applyNumberFormat="1" applyFont="1" applyBorder="1" applyAlignment="1">
      <alignment horizontal="center" vertical="center"/>
    </xf>
    <xf numFmtId="3" fontId="18" fillId="0" borderId="41" xfId="0" applyNumberFormat="1" applyFont="1" applyFill="1" applyBorder="1" applyAlignment="1">
      <alignment horizontal="center" vertical="center" wrapText="1"/>
    </xf>
    <xf numFmtId="3" fontId="18" fillId="0" borderId="42" xfId="0" applyNumberFormat="1" applyFont="1" applyFill="1" applyBorder="1" applyAlignment="1">
      <alignment horizontal="center" vertical="center" wrapText="1"/>
    </xf>
    <xf numFmtId="3" fontId="18" fillId="0" borderId="45" xfId="0" applyNumberFormat="1" applyFont="1" applyFill="1" applyBorder="1" applyAlignment="1">
      <alignment horizontal="center" vertical="center" wrapText="1"/>
    </xf>
    <xf numFmtId="3" fontId="18" fillId="0" borderId="43" xfId="0" applyNumberFormat="1" applyFont="1" applyFill="1" applyBorder="1" applyAlignment="1">
      <alignment horizontal="center" vertical="center" wrapText="1"/>
    </xf>
    <xf numFmtId="3" fontId="18" fillId="0" borderId="44" xfId="0" applyNumberFormat="1" applyFont="1" applyFill="1" applyBorder="1" applyAlignment="1">
      <alignment horizontal="center" vertical="center" wrapText="1"/>
    </xf>
    <xf numFmtId="3" fontId="18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 applyAlignment="1"/>
    <xf numFmtId="166" fontId="14" fillId="2" borderId="1" xfId="2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0" fillId="0" borderId="0" xfId="0" applyFill="1"/>
    <xf numFmtId="1" fontId="0" fillId="0" borderId="0" xfId="0" applyNumberFormat="1" applyFill="1" applyBorder="1" applyAlignment="1">
      <alignment horizontal="center"/>
    </xf>
    <xf numFmtId="0" fontId="0" fillId="0" borderId="0" xfId="0" applyFill="1" applyBorder="1" applyAlignment="1">
      <alignment horizontal="center" vertical="center"/>
    </xf>
    <xf numFmtId="0" fontId="25" fillId="0" borderId="0" xfId="7" applyAlignment="1">
      <alignment horizontal="center" vertical="center" wrapText="1"/>
    </xf>
    <xf numFmtId="0" fontId="22" fillId="0" borderId="0" xfId="7" applyFont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0" fontId="0" fillId="0" borderId="0" xfId="0" applyFill="1" applyAlignment="1">
      <alignment horizontal="center"/>
    </xf>
    <xf numFmtId="168" fontId="21" fillId="0" borderId="0" xfId="11" applyNumberFormat="1" applyFont="1" applyAlignment="1">
      <alignment horizontal="center" vertical="center"/>
    </xf>
    <xf numFmtId="0" fontId="21" fillId="0" borderId="0" xfId="11" applyFont="1"/>
    <xf numFmtId="0" fontId="23" fillId="0" borderId="0" xfId="7" applyFont="1" applyBorder="1" applyAlignment="1">
      <alignment horizontal="center" vertical="center" wrapText="1"/>
    </xf>
    <xf numFmtId="0" fontId="25" fillId="0" borderId="0" xfId="7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11" fillId="0" borderId="0" xfId="16" applyFont="1" applyAlignment="1"/>
    <xf numFmtId="0" fontId="5" fillId="0" borderId="0" xfId="16" applyAlignment="1">
      <alignment horizontal="left"/>
    </xf>
    <xf numFmtId="0" fontId="5" fillId="0" borderId="0" xfId="16"/>
    <xf numFmtId="168" fontId="28" fillId="0" borderId="0" xfId="11" applyNumberFormat="1" applyFont="1" applyAlignment="1">
      <alignment vertical="center"/>
    </xf>
    <xf numFmtId="168" fontId="28" fillId="0" borderId="0" xfId="11" applyNumberFormat="1" applyFont="1" applyBorder="1" applyAlignment="1">
      <alignment horizontal="center" vertical="center"/>
    </xf>
    <xf numFmtId="168" fontId="20" fillId="0" borderId="0" xfId="11" applyNumberFormat="1" applyFont="1" applyAlignment="1">
      <alignment horizontal="center" vertical="center"/>
    </xf>
    <xf numFmtId="49" fontId="0" fillId="0" borderId="0" xfId="0" applyNumberFormat="1" applyFont="1" applyBorder="1" applyAlignment="1">
      <alignment vertical="center"/>
    </xf>
    <xf numFmtId="0" fontId="22" fillId="0" borderId="0" xfId="7" applyFont="1" applyAlignment="1">
      <alignment horizontal="center" vertical="center" wrapText="1"/>
    </xf>
    <xf numFmtId="0" fontId="22" fillId="0" borderId="0" xfId="7" applyFont="1" applyAlignment="1">
      <alignment vertical="center" wrapText="1"/>
    </xf>
    <xf numFmtId="168" fontId="21" fillId="0" borderId="0" xfId="11" applyNumberFormat="1" applyFont="1" applyBorder="1" applyAlignment="1">
      <alignment horizontal="center" vertical="center"/>
    </xf>
    <xf numFmtId="0" fontId="11" fillId="0" borderId="0" xfId="17" applyFont="1" applyAlignment="1"/>
    <xf numFmtId="0" fontId="25" fillId="0" borderId="0" xfId="17" applyAlignment="1">
      <alignment horizontal="left"/>
    </xf>
    <xf numFmtId="0" fontId="25" fillId="0" borderId="0" xfId="17" applyFill="1" applyAlignment="1">
      <alignment horizontal="left"/>
    </xf>
    <xf numFmtId="0" fontId="25" fillId="0" borderId="0" xfId="17"/>
    <xf numFmtId="0" fontId="25" fillId="0" borderId="0" xfId="17" applyFill="1"/>
    <xf numFmtId="168" fontId="28" fillId="0" borderId="0" xfId="11" applyNumberFormat="1" applyFont="1" applyBorder="1" applyAlignment="1">
      <alignment horizontal="center" vertical="center"/>
    </xf>
    <xf numFmtId="168" fontId="20" fillId="0" borderId="0" xfId="11" applyNumberFormat="1" applyFont="1" applyAlignment="1">
      <alignment vertical="center"/>
    </xf>
    <xf numFmtId="49" fontId="26" fillId="0" borderId="1" xfId="0" applyNumberFormat="1" applyFont="1" applyBorder="1" applyAlignment="1">
      <alignment vertical="center"/>
    </xf>
    <xf numFmtId="0" fontId="27" fillId="0" borderId="1" xfId="0" applyFont="1" applyBorder="1" applyAlignment="1">
      <alignment vertical="center"/>
    </xf>
    <xf numFmtId="0" fontId="25" fillId="0" borderId="0" xfId="7" applyAlignment="1">
      <alignment vertical="center" wrapText="1"/>
    </xf>
    <xf numFmtId="168" fontId="28" fillId="0" borderId="0" xfId="11" applyNumberFormat="1" applyFont="1" applyBorder="1" applyAlignment="1">
      <alignment vertical="center"/>
    </xf>
    <xf numFmtId="49" fontId="0" fillId="0" borderId="40" xfId="0" applyNumberFormat="1" applyFont="1" applyBorder="1" applyAlignment="1">
      <alignment vertical="center"/>
    </xf>
    <xf numFmtId="49" fontId="0" fillId="0" borderId="50" xfId="0" applyNumberFormat="1" applyFont="1" applyBorder="1" applyAlignment="1">
      <alignment vertical="center"/>
    </xf>
    <xf numFmtId="0" fontId="5" fillId="0" borderId="0" xfId="16" applyAlignment="1"/>
    <xf numFmtId="0" fontId="18" fillId="0" borderId="7" xfId="0" applyFont="1" applyBorder="1" applyAlignment="1">
      <alignment vertical="center"/>
    </xf>
    <xf numFmtId="49" fontId="18" fillId="0" borderId="7" xfId="0" applyNumberFormat="1" applyFont="1" applyBorder="1" applyAlignment="1">
      <alignment horizontal="left" vertical="center"/>
    </xf>
    <xf numFmtId="0" fontId="24" fillId="0" borderId="0" xfId="23"/>
    <xf numFmtId="0" fontId="22" fillId="0" borderId="0" xfId="7" applyFont="1" applyAlignment="1">
      <alignment horizontal="center" vertical="center" wrapText="1"/>
    </xf>
    <xf numFmtId="168" fontId="20" fillId="0" borderId="0" xfId="11" applyNumberFormat="1" applyFont="1" applyAlignment="1">
      <alignment horizontal="center" vertical="center"/>
    </xf>
    <xf numFmtId="0" fontId="29" fillId="0" borderId="0" xfId="7" applyFont="1" applyAlignment="1">
      <alignment horizontal="left" vertical="center" wrapText="1"/>
    </xf>
    <xf numFmtId="0" fontId="29" fillId="0" borderId="0" xfId="7" applyFont="1" applyAlignment="1">
      <alignment horizontal="right" vertical="center" wrapText="1"/>
    </xf>
    <xf numFmtId="0" fontId="25" fillId="0" borderId="1" xfId="17" applyBorder="1" applyAlignment="1">
      <alignment horizontal="center" vertical="center" wrapText="1"/>
    </xf>
    <xf numFmtId="49" fontId="26" fillId="0" borderId="0" xfId="0" applyNumberFormat="1" applyFont="1" applyBorder="1" applyAlignment="1">
      <alignment vertical="center"/>
    </xf>
    <xf numFmtId="0" fontId="26" fillId="0" borderId="1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59" fillId="0" borderId="0" xfId="190" applyFont="1"/>
    <xf numFmtId="0" fontId="61" fillId="0" borderId="0" xfId="190" applyFont="1" applyAlignment="1">
      <alignment horizontal="center" vertical="center" wrapText="1"/>
    </xf>
    <xf numFmtId="0" fontId="61" fillId="0" borderId="0" xfId="190" applyFont="1" applyAlignment="1">
      <alignment vertical="center"/>
    </xf>
    <xf numFmtId="0" fontId="62" fillId="0" borderId="0" xfId="190" applyFont="1" applyAlignment="1">
      <alignment horizontal="right" vertical="center"/>
    </xf>
    <xf numFmtId="0" fontId="24" fillId="0" borderId="69" xfId="23" applyBorder="1"/>
    <xf numFmtId="0" fontId="62" fillId="0" borderId="71" xfId="190" applyFont="1" applyBorder="1" applyAlignment="1">
      <alignment horizontal="center" vertical="center" wrapText="1"/>
    </xf>
    <xf numFmtId="0" fontId="62" fillId="0" borderId="60" xfId="190" applyFont="1" applyBorder="1" applyAlignment="1">
      <alignment horizontal="center" vertical="center" wrapText="1"/>
    </xf>
    <xf numFmtId="0" fontId="62" fillId="0" borderId="55" xfId="190" applyFont="1" applyBorder="1" applyAlignment="1">
      <alignment horizontal="center" vertical="center" wrapText="1"/>
    </xf>
    <xf numFmtId="0" fontId="62" fillId="0" borderId="69" xfId="190" applyFont="1" applyBorder="1" applyAlignment="1">
      <alignment horizontal="center" vertical="center" wrapText="1"/>
    </xf>
    <xf numFmtId="0" fontId="60" fillId="0" borderId="26" xfId="190" applyFont="1" applyBorder="1" applyAlignment="1">
      <alignment horizontal="center" vertical="center"/>
    </xf>
    <xf numFmtId="0" fontId="60" fillId="0" borderId="12" xfId="190" applyFont="1" applyBorder="1" applyAlignment="1">
      <alignment horizontal="center" vertical="center"/>
    </xf>
    <xf numFmtId="0" fontId="60" fillId="0" borderId="68" xfId="190" applyFont="1" applyBorder="1" applyAlignment="1">
      <alignment horizontal="center" vertical="center"/>
    </xf>
    <xf numFmtId="0" fontId="60" fillId="0" borderId="56" xfId="190" applyFont="1" applyBorder="1" applyAlignment="1">
      <alignment horizontal="center" vertical="center" wrapText="1"/>
    </xf>
    <xf numFmtId="0" fontId="60" fillId="0" borderId="71" xfId="190" applyFont="1" applyBorder="1" applyAlignment="1">
      <alignment horizontal="center" vertical="center" wrapText="1"/>
    </xf>
    <xf numFmtId="0" fontId="60" fillId="0" borderId="60" xfId="190" applyFont="1" applyBorder="1" applyAlignment="1">
      <alignment horizontal="center" vertical="center" wrapText="1"/>
    </xf>
    <xf numFmtId="0" fontId="62" fillId="0" borderId="74" xfId="23" applyFont="1" applyBorder="1" applyAlignment="1">
      <alignment horizontal="center" vertical="center"/>
    </xf>
    <xf numFmtId="0" fontId="62" fillId="0" borderId="74" xfId="23" applyNumberFormat="1" applyFont="1" applyBorder="1" applyAlignment="1">
      <alignment vertical="center" wrapText="1"/>
    </xf>
    <xf numFmtId="0" fontId="62" fillId="0" borderId="54" xfId="23" applyNumberFormat="1" applyFont="1" applyBorder="1" applyAlignment="1">
      <alignment horizontal="center" vertical="center" wrapText="1"/>
    </xf>
    <xf numFmtId="1" fontId="37" fillId="0" borderId="75" xfId="23" applyNumberFormat="1" applyFont="1" applyBorder="1" applyAlignment="1" applyProtection="1">
      <alignment horizontal="right" wrapText="1"/>
      <protection locked="0"/>
    </xf>
    <xf numFmtId="2" fontId="37" fillId="0" borderId="8" xfId="23" applyNumberFormat="1" applyFont="1" applyBorder="1" applyAlignment="1" applyProtection="1">
      <alignment horizontal="right"/>
    </xf>
    <xf numFmtId="1" fontId="37" fillId="0" borderId="76" xfId="23" applyNumberFormat="1" applyFont="1" applyBorder="1" applyAlignment="1" applyProtection="1">
      <alignment horizontal="right" wrapText="1"/>
      <protection locked="0"/>
    </xf>
    <xf numFmtId="1" fontId="37" fillId="0" borderId="77" xfId="190" applyNumberFormat="1" applyFont="1" applyBorder="1" applyAlignment="1" applyProtection="1">
      <alignment horizontal="right" wrapText="1" shrinkToFit="1"/>
      <protection locked="0"/>
    </xf>
    <xf numFmtId="2" fontId="37" fillId="0" borderId="74" xfId="23" applyNumberFormat="1" applyFont="1" applyBorder="1" applyAlignment="1" applyProtection="1">
      <alignment horizontal="right"/>
    </xf>
    <xf numFmtId="1" fontId="37" fillId="0" borderId="76" xfId="190" applyNumberFormat="1" applyFont="1" applyBorder="1" applyAlignment="1" applyProtection="1">
      <alignment horizontal="right"/>
      <protection locked="0"/>
    </xf>
    <xf numFmtId="0" fontId="62" fillId="0" borderId="1" xfId="23" applyFont="1" applyBorder="1" applyAlignment="1">
      <alignment horizontal="center" vertical="center"/>
    </xf>
    <xf numFmtId="0" fontId="63" fillId="0" borderId="1" xfId="23" applyNumberFormat="1" applyFont="1" applyBorder="1" applyAlignment="1">
      <alignment vertical="center" wrapText="1"/>
    </xf>
    <xf numFmtId="0" fontId="62" fillId="0" borderId="51" xfId="23" applyNumberFormat="1" applyFont="1" applyBorder="1" applyAlignment="1">
      <alignment horizontal="center" vertical="center" wrapText="1"/>
    </xf>
    <xf numFmtId="2" fontId="37" fillId="0" borderId="34" xfId="23" applyNumberFormat="1" applyFont="1" applyBorder="1" applyAlignment="1" applyProtection="1">
      <alignment horizontal="right" wrapText="1"/>
      <protection locked="0"/>
    </xf>
    <xf numFmtId="4" fontId="37" fillId="0" borderId="1" xfId="23" applyNumberFormat="1" applyFont="1" applyBorder="1" applyAlignment="1" applyProtection="1">
      <alignment horizontal="right"/>
      <protection locked="0"/>
    </xf>
    <xf numFmtId="2" fontId="37" fillId="0" borderId="19" xfId="23" applyNumberFormat="1" applyFont="1" applyBorder="1" applyAlignment="1" applyProtection="1">
      <alignment horizontal="right" wrapText="1"/>
      <protection locked="0"/>
    </xf>
    <xf numFmtId="2" fontId="37" fillId="0" borderId="34" xfId="190" applyNumberFormat="1" applyFont="1" applyBorder="1" applyAlignment="1" applyProtection="1">
      <alignment horizontal="right" wrapText="1" shrinkToFit="1"/>
      <protection locked="0"/>
    </xf>
    <xf numFmtId="2" fontId="37" fillId="0" borderId="19" xfId="190" applyNumberFormat="1" applyFont="1" applyBorder="1" applyAlignment="1" applyProtection="1">
      <alignment horizontal="right"/>
      <protection locked="0"/>
    </xf>
    <xf numFmtId="0" fontId="62" fillId="0" borderId="1" xfId="190" applyFont="1" applyBorder="1" applyAlignment="1">
      <alignment horizontal="center" vertical="center"/>
    </xf>
    <xf numFmtId="0" fontId="62" fillId="0" borderId="1" xfId="23" applyNumberFormat="1" applyFont="1" applyBorder="1" applyAlignment="1">
      <alignment vertical="center" wrapText="1"/>
    </xf>
    <xf numFmtId="1" fontId="37" fillId="0" borderId="34" xfId="23" applyNumberFormat="1" applyFont="1" applyBorder="1" applyAlignment="1" applyProtection="1">
      <alignment horizontal="right" wrapText="1"/>
      <protection locked="0"/>
    </xf>
    <xf numFmtId="2" fontId="37" fillId="0" borderId="1" xfId="190" applyNumberFormat="1" applyFont="1" applyBorder="1" applyAlignment="1" applyProtection="1">
      <alignment horizontal="right" wrapText="1"/>
    </xf>
    <xf numFmtId="1" fontId="37" fillId="0" borderId="19" xfId="23" applyNumberFormat="1" applyFont="1" applyBorder="1" applyAlignment="1" applyProtection="1">
      <alignment horizontal="right" wrapText="1"/>
      <protection locked="0"/>
    </xf>
    <xf numFmtId="1" fontId="37" fillId="0" borderId="34" xfId="190" applyNumberFormat="1" applyFont="1" applyBorder="1" applyAlignment="1" applyProtection="1">
      <alignment horizontal="right" wrapText="1" shrinkToFit="1"/>
      <protection locked="0"/>
    </xf>
    <xf numFmtId="1" fontId="37" fillId="0" borderId="19" xfId="190" applyNumberFormat="1" applyFont="1" applyBorder="1" applyAlignment="1" applyProtection="1">
      <alignment horizontal="right"/>
      <protection locked="0"/>
    </xf>
    <xf numFmtId="0" fontId="62" fillId="0" borderId="22" xfId="190" applyFont="1" applyBorder="1" applyAlignment="1">
      <alignment horizontal="center" vertical="center"/>
    </xf>
    <xf numFmtId="0" fontId="63" fillId="0" borderId="22" xfId="23" applyNumberFormat="1" applyFont="1" applyBorder="1" applyAlignment="1">
      <alignment vertical="center" wrapText="1"/>
    </xf>
    <xf numFmtId="0" fontId="62" fillId="0" borderId="79" xfId="23" applyNumberFormat="1" applyFont="1" applyBorder="1" applyAlignment="1">
      <alignment horizontal="center" vertical="center" wrapText="1"/>
    </xf>
    <xf numFmtId="2" fontId="37" fillId="0" borderId="80" xfId="23" applyNumberFormat="1" applyFont="1" applyBorder="1" applyAlignment="1" applyProtection="1">
      <alignment horizontal="right" wrapText="1"/>
      <protection locked="0"/>
    </xf>
    <xf numFmtId="4" fontId="37" fillId="0" borderId="22" xfId="23" applyNumberFormat="1" applyFont="1" applyBorder="1" applyAlignment="1" applyProtection="1">
      <alignment horizontal="right"/>
      <protection locked="0"/>
    </xf>
    <xf numFmtId="2" fontId="37" fillId="0" borderId="24" xfId="23" applyNumberFormat="1" applyFont="1" applyBorder="1" applyAlignment="1" applyProtection="1">
      <alignment horizontal="right" wrapText="1"/>
      <protection locked="0"/>
    </xf>
    <xf numFmtId="0" fontId="62" fillId="0" borderId="8" xfId="190" applyFont="1" applyBorder="1" applyAlignment="1">
      <alignment horizontal="center" vertical="center"/>
    </xf>
    <xf numFmtId="0" fontId="64" fillId="0" borderId="8" xfId="23" applyNumberFormat="1" applyFont="1" applyBorder="1" applyAlignment="1">
      <alignment vertical="center" wrapText="1"/>
    </xf>
    <xf numFmtId="1" fontId="37" fillId="0" borderId="77" xfId="190" applyNumberFormat="1" applyFont="1" applyBorder="1" applyAlignment="1" applyProtection="1">
      <alignment horizontal="right"/>
      <protection locked="0"/>
    </xf>
    <xf numFmtId="4" fontId="37" fillId="0" borderId="74" xfId="190" applyNumberFormat="1" applyFont="1" applyBorder="1" applyAlignment="1" applyProtection="1">
      <alignment horizontal="right"/>
      <protection locked="0"/>
    </xf>
    <xf numFmtId="1" fontId="37" fillId="0" borderId="76" xfId="23" applyNumberFormat="1" applyFont="1" applyBorder="1" applyAlignment="1" applyProtection="1">
      <alignment horizontal="right" wrapText="1"/>
    </xf>
    <xf numFmtId="1" fontId="37" fillId="0" borderId="76" xfId="190" applyNumberFormat="1" applyFont="1" applyBorder="1" applyAlignment="1" applyProtection="1">
      <alignment horizontal="right"/>
    </xf>
    <xf numFmtId="0" fontId="62" fillId="0" borderId="1" xfId="190" applyNumberFormat="1" applyFont="1" applyBorder="1" applyAlignment="1">
      <alignment vertical="center"/>
    </xf>
    <xf numFmtId="4" fontId="37" fillId="0" borderId="34" xfId="190" applyNumberFormat="1" applyFont="1" applyBorder="1" applyAlignment="1" applyProtection="1">
      <alignment horizontal="right"/>
      <protection locked="0"/>
    </xf>
    <xf numFmtId="4" fontId="37" fillId="0" borderId="1" xfId="190" applyNumberFormat="1" applyFont="1" applyBorder="1" applyAlignment="1" applyProtection="1">
      <alignment horizontal="right"/>
      <protection locked="0"/>
    </xf>
    <xf numFmtId="2" fontId="37" fillId="0" borderId="19" xfId="190" applyNumberFormat="1" applyFont="1" applyBorder="1" applyAlignment="1" applyProtection="1">
      <alignment horizontal="right"/>
    </xf>
    <xf numFmtId="0" fontId="62" fillId="0" borderId="7" xfId="190" applyNumberFormat="1" applyFont="1" applyBorder="1" applyAlignment="1">
      <alignment vertical="center" wrapText="1"/>
    </xf>
    <xf numFmtId="0" fontId="62" fillId="0" borderId="24" xfId="23" applyNumberFormat="1" applyFont="1" applyBorder="1" applyAlignment="1">
      <alignment horizontal="center" vertical="center" wrapText="1"/>
    </xf>
    <xf numFmtId="1" fontId="37" fillId="0" borderId="80" xfId="190" applyNumberFormat="1" applyFont="1" applyBorder="1" applyAlignment="1" applyProtection="1">
      <alignment horizontal="right"/>
      <protection locked="0"/>
    </xf>
    <xf numFmtId="4" fontId="37" fillId="0" borderId="22" xfId="190" applyNumberFormat="1" applyFont="1" applyBorder="1" applyAlignment="1" applyProtection="1">
      <alignment horizontal="right"/>
      <protection locked="0"/>
    </xf>
    <xf numFmtId="1" fontId="37" fillId="0" borderId="24" xfId="190" applyNumberFormat="1" applyFont="1" applyBorder="1" applyAlignment="1" applyProtection="1">
      <alignment horizontal="right" wrapText="1"/>
      <protection locked="0"/>
    </xf>
    <xf numFmtId="1" fontId="37" fillId="0" borderId="24" xfId="190" applyNumberFormat="1" applyFont="1" applyBorder="1" applyAlignment="1" applyProtection="1">
      <alignment horizontal="right"/>
      <protection locked="0"/>
    </xf>
    <xf numFmtId="0" fontId="59" fillId="0" borderId="81" xfId="190" applyFont="1" applyBorder="1"/>
    <xf numFmtId="166" fontId="37" fillId="0" borderId="1" xfId="2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1" xfId="2" applyNumberFormat="1" applyFont="1" applyFill="1" applyBorder="1" applyAlignment="1">
      <alignment vertical="center" wrapText="1"/>
    </xf>
    <xf numFmtId="1" fontId="37" fillId="0" borderId="1" xfId="2" applyNumberFormat="1" applyFont="1" applyFill="1" applyBorder="1" applyAlignment="1">
      <alignment horizontal="left" vertical="center" wrapText="1"/>
    </xf>
    <xf numFmtId="0" fontId="37" fillId="0" borderId="12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25" fillId="0" borderId="34" xfId="17" applyBorder="1" applyAlignment="1">
      <alignment horizontal="center" vertical="center"/>
    </xf>
    <xf numFmtId="0" fontId="60" fillId="0" borderId="50" xfId="17" applyFont="1" applyBorder="1" applyAlignment="1">
      <alignment horizontal="left" vertical="center" wrapText="1"/>
    </xf>
    <xf numFmtId="0" fontId="60" fillId="0" borderId="1" xfId="17" applyFont="1" applyBorder="1" applyAlignment="1">
      <alignment horizontal="center" vertical="center" wrapText="1"/>
    </xf>
    <xf numFmtId="0" fontId="10" fillId="0" borderId="1" xfId="17" applyFont="1" applyFill="1" applyBorder="1" applyAlignment="1">
      <alignment horizontal="center" vertical="center" wrapText="1" shrinkToFit="1"/>
    </xf>
    <xf numFmtId="0" fontId="33" fillId="0" borderId="1" xfId="17" applyFont="1" applyBorder="1" applyAlignment="1">
      <alignment horizontal="center" vertical="center" wrapText="1" shrinkToFit="1"/>
    </xf>
    <xf numFmtId="0" fontId="33" fillId="0" borderId="1" xfId="17" applyFont="1" applyBorder="1" applyAlignment="1">
      <alignment vertical="center" wrapText="1"/>
    </xf>
    <xf numFmtId="170" fontId="33" fillId="0" borderId="1" xfId="2" applyNumberFormat="1" applyFont="1" applyBorder="1" applyAlignment="1">
      <alignment horizontal="center" vertical="center" wrapText="1" shrinkToFit="1"/>
    </xf>
    <xf numFmtId="170" fontId="33" fillId="0" borderId="1" xfId="2" applyNumberFormat="1" applyFont="1" applyBorder="1" applyAlignment="1">
      <alignment vertical="center" wrapText="1"/>
    </xf>
    <xf numFmtId="178" fontId="33" fillId="0" borderId="1" xfId="17" applyNumberFormat="1" applyFont="1" applyBorder="1" applyAlignment="1">
      <alignment horizontal="center" vertical="center" wrapText="1" shrinkToFit="1"/>
    </xf>
    <xf numFmtId="0" fontId="25" fillId="0" borderId="82" xfId="17" applyBorder="1" applyAlignment="1">
      <alignment horizontal="center" vertical="center"/>
    </xf>
    <xf numFmtId="0" fontId="60" fillId="0" borderId="49" xfId="17" applyFont="1" applyBorder="1" applyAlignment="1">
      <alignment horizontal="left" vertical="center" wrapText="1"/>
    </xf>
    <xf numFmtId="0" fontId="60" fillId="0" borderId="7" xfId="17" applyFont="1" applyBorder="1" applyAlignment="1">
      <alignment horizontal="center" vertical="center" wrapText="1"/>
    </xf>
    <xf numFmtId="0" fontId="25" fillId="0" borderId="1" xfId="17" applyBorder="1"/>
    <xf numFmtId="0" fontId="60" fillId="0" borderId="1" xfId="17" applyFont="1" applyBorder="1" applyAlignment="1">
      <alignment horizontal="left" vertical="center" wrapText="1"/>
    </xf>
    <xf numFmtId="0" fontId="10" fillId="0" borderId="1" xfId="17" applyFont="1" applyFill="1" applyBorder="1" applyAlignment="1">
      <alignment vertical="center" wrapText="1"/>
    </xf>
    <xf numFmtId="0" fontId="56" fillId="0" borderId="0" xfId="17" applyFont="1" applyFill="1" applyAlignment="1">
      <alignment horizontal="left"/>
    </xf>
    <xf numFmtId="0" fontId="56" fillId="0" borderId="0" xfId="17" applyFont="1" applyAlignment="1">
      <alignment horizontal="left"/>
    </xf>
    <xf numFmtId="0" fontId="56" fillId="0" borderId="0" xfId="7" applyFont="1" applyAlignment="1">
      <alignment horizontal="center" vertical="center" wrapText="1"/>
    </xf>
    <xf numFmtId="0" fontId="70" fillId="0" borderId="0" xfId="18" applyFont="1" applyAlignment="1">
      <alignment horizontal="left"/>
    </xf>
    <xf numFmtId="178" fontId="71" fillId="0" borderId="1" xfId="17" applyNumberFormat="1" applyFont="1" applyFill="1" applyBorder="1" applyAlignment="1">
      <alignment horizontal="center" vertical="center" wrapText="1"/>
    </xf>
    <xf numFmtId="0" fontId="56" fillId="0" borderId="0" xfId="17" applyFont="1" applyFill="1"/>
    <xf numFmtId="0" fontId="56" fillId="0" borderId="0" xfId="17" applyFont="1"/>
    <xf numFmtId="0" fontId="30" fillId="0" borderId="0" xfId="7" applyFont="1" applyAlignment="1">
      <alignment vertical="center" wrapText="1"/>
    </xf>
    <xf numFmtId="0" fontId="30" fillId="0" borderId="0" xfId="7" applyFont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0" xfId="7" applyFont="1" applyBorder="1" applyAlignment="1">
      <alignment vertical="center" wrapText="1"/>
    </xf>
    <xf numFmtId="0" fontId="10" fillId="3" borderId="50" xfId="17" applyFont="1" applyFill="1" applyBorder="1" applyAlignment="1">
      <alignment horizontal="left" vertical="center" wrapText="1"/>
    </xf>
    <xf numFmtId="0" fontId="60" fillId="3" borderId="1" xfId="17" applyFont="1" applyFill="1" applyBorder="1" applyAlignment="1">
      <alignment horizontal="center" vertical="center"/>
    </xf>
    <xf numFmtId="0" fontId="10" fillId="0" borderId="1" xfId="17" applyFont="1" applyFill="1" applyBorder="1" applyAlignment="1">
      <alignment horizontal="center" vertical="center" wrapText="1"/>
    </xf>
    <xf numFmtId="170" fontId="71" fillId="3" borderId="1" xfId="2" applyNumberFormat="1" applyFont="1" applyFill="1" applyBorder="1" applyAlignment="1">
      <alignment horizontal="center" vertical="center" wrapText="1"/>
    </xf>
    <xf numFmtId="170" fontId="33" fillId="3" borderId="1" xfId="2" applyNumberFormat="1" applyFont="1" applyFill="1" applyBorder="1" applyAlignment="1">
      <alignment horizontal="center" vertical="center"/>
    </xf>
    <xf numFmtId="0" fontId="60" fillId="3" borderId="50" xfId="17" applyFont="1" applyFill="1" applyBorder="1" applyAlignment="1">
      <alignment horizontal="left" vertical="center" wrapText="1"/>
    </xf>
    <xf numFmtId="178" fontId="71" fillId="3" borderId="1" xfId="17" applyNumberFormat="1" applyFont="1" applyFill="1" applyBorder="1" applyAlignment="1">
      <alignment horizontal="center" vertical="center" wrapText="1"/>
    </xf>
    <xf numFmtId="170" fontId="71" fillId="3" borderId="1" xfId="2" applyNumberFormat="1" applyFont="1" applyFill="1" applyBorder="1" applyAlignment="1">
      <alignment horizontal="center" vertical="center"/>
    </xf>
    <xf numFmtId="2" fontId="71" fillId="3" borderId="1" xfId="17" applyNumberFormat="1" applyFont="1" applyFill="1" applyBorder="1" applyAlignment="1">
      <alignment horizontal="center" vertical="center" wrapText="1"/>
    </xf>
    <xf numFmtId="0" fontId="71" fillId="3" borderId="1" xfId="17" applyFont="1" applyFill="1" applyBorder="1" applyAlignment="1">
      <alignment horizontal="center" vertical="center"/>
    </xf>
    <xf numFmtId="0" fontId="75" fillId="0" borderId="1" xfId="17" applyFont="1" applyFill="1" applyBorder="1" applyAlignment="1">
      <alignment horizontal="center" vertical="center" wrapText="1"/>
    </xf>
    <xf numFmtId="0" fontId="60" fillId="3" borderId="1" xfId="17" applyFont="1" applyFill="1" applyBorder="1" applyAlignment="1">
      <alignment horizontal="left" vertical="center" wrapText="1"/>
    </xf>
    <xf numFmtId="0" fontId="76" fillId="3" borderId="1" xfId="17" applyFont="1" applyFill="1" applyBorder="1" applyAlignment="1">
      <alignment horizontal="center" vertical="center" wrapText="1"/>
    </xf>
    <xf numFmtId="0" fontId="29" fillId="3" borderId="1" xfId="17" applyFont="1" applyFill="1" applyBorder="1" applyAlignment="1">
      <alignment vertical="center"/>
    </xf>
    <xf numFmtId="0" fontId="33" fillId="3" borderId="1" xfId="17" applyFont="1" applyFill="1" applyBorder="1" applyAlignment="1">
      <alignment horizontal="center" vertical="center"/>
    </xf>
    <xf numFmtId="0" fontId="34" fillId="0" borderId="1" xfId="17" applyFont="1" applyFill="1" applyBorder="1" applyAlignment="1">
      <alignment horizontal="center" wrapText="1"/>
    </xf>
    <xf numFmtId="0" fontId="34" fillId="0" borderId="1" xfId="17" applyFont="1" applyFill="1" applyBorder="1" applyAlignment="1">
      <alignment horizontal="left" vertical="center" wrapText="1"/>
    </xf>
    <xf numFmtId="0" fontId="34" fillId="0" borderId="1" xfId="17" applyFont="1" applyFill="1" applyBorder="1" applyAlignment="1">
      <alignment horizontal="center" vertical="center" wrapText="1"/>
    </xf>
    <xf numFmtId="170" fontId="32" fillId="0" borderId="1" xfId="2" applyNumberFormat="1" applyFont="1" applyFill="1" applyBorder="1" applyAlignment="1">
      <alignment horizontal="center" vertical="center" wrapText="1"/>
    </xf>
    <xf numFmtId="170" fontId="32" fillId="2" borderId="1" xfId="2" applyNumberFormat="1" applyFont="1" applyFill="1" applyBorder="1" applyAlignment="1">
      <alignment horizontal="center" vertical="center" wrapText="1"/>
    </xf>
    <xf numFmtId="0" fontId="65" fillId="2" borderId="1" xfId="17" applyFont="1" applyFill="1" applyBorder="1" applyAlignment="1">
      <alignment horizontal="center" vertical="center" wrapText="1"/>
    </xf>
    <xf numFmtId="170" fontId="35" fillId="0" borderId="1" xfId="2" applyNumberFormat="1" applyFont="1" applyBorder="1" applyAlignment="1">
      <alignment horizontal="center" vertical="center" wrapText="1" shrinkToFit="1"/>
    </xf>
    <xf numFmtId="170" fontId="35" fillId="0" borderId="1" xfId="2" applyNumberFormat="1" applyFont="1" applyBorder="1" applyAlignment="1">
      <alignment vertical="center" wrapText="1"/>
    </xf>
    <xf numFmtId="178" fontId="35" fillId="0" borderId="1" xfId="17" applyNumberFormat="1" applyFont="1" applyBorder="1" applyAlignment="1">
      <alignment horizontal="center" vertical="center" wrapText="1" shrinkToFit="1"/>
    </xf>
    <xf numFmtId="178" fontId="35" fillId="0" borderId="1" xfId="17" applyNumberFormat="1" applyFont="1" applyBorder="1" applyAlignment="1">
      <alignment horizontal="center" vertical="center" wrapText="1"/>
    </xf>
    <xf numFmtId="2" fontId="35" fillId="0" borderId="1" xfId="17" applyNumberFormat="1" applyFont="1" applyBorder="1" applyAlignment="1">
      <alignment horizontal="center" vertical="center" wrapText="1" shrinkToFit="1"/>
    </xf>
    <xf numFmtId="2" fontId="35" fillId="0" borderId="1" xfId="17" applyNumberFormat="1" applyFont="1" applyFill="1" applyBorder="1" applyAlignment="1">
      <alignment horizontal="center" vertical="center" wrapText="1"/>
    </xf>
    <xf numFmtId="170" fontId="35" fillId="0" borderId="7" xfId="2" applyNumberFormat="1" applyFont="1" applyBorder="1" applyAlignment="1">
      <alignment horizontal="center" vertical="center" wrapText="1" shrinkToFit="1"/>
    </xf>
    <xf numFmtId="0" fontId="35" fillId="0" borderId="1" xfId="17" applyNumberFormat="1" applyFont="1" applyBorder="1" applyAlignment="1">
      <alignment horizontal="center" vertical="center" wrapText="1" shrinkToFit="1"/>
    </xf>
    <xf numFmtId="0" fontId="35" fillId="0" borderId="1" xfId="17" applyFont="1" applyBorder="1" applyAlignment="1">
      <alignment vertical="center" wrapText="1"/>
    </xf>
    <xf numFmtId="170" fontId="35" fillId="0" borderId="1" xfId="17" applyNumberFormat="1" applyFont="1" applyBorder="1" applyAlignment="1">
      <alignment horizontal="center" vertical="center" wrapText="1" shrinkToFit="1"/>
    </xf>
    <xf numFmtId="178" fontId="35" fillId="0" borderId="1" xfId="17" applyNumberFormat="1" applyFont="1" applyFill="1" applyBorder="1" applyAlignment="1">
      <alignment horizontal="center" vertical="center" wrapText="1"/>
    </xf>
    <xf numFmtId="0" fontId="25" fillId="0" borderId="1" xfId="17" applyBorder="1" applyAlignment="1">
      <alignment horizontal="center" vertical="center"/>
    </xf>
    <xf numFmtId="0" fontId="34" fillId="0" borderId="1" xfId="17" applyFont="1" applyBorder="1" applyAlignment="1">
      <alignment horizontal="left" vertical="center" wrapText="1"/>
    </xf>
    <xf numFmtId="1" fontId="33" fillId="0" borderId="1" xfId="17" applyNumberFormat="1" applyFont="1" applyFill="1" applyBorder="1" applyAlignment="1">
      <alignment horizontal="center" vertical="center" wrapText="1" shrinkToFit="1"/>
    </xf>
    <xf numFmtId="1" fontId="33" fillId="0" borderId="1" xfId="17" applyNumberFormat="1" applyFont="1" applyFill="1" applyBorder="1" applyAlignment="1">
      <alignment horizontal="center" vertical="center" wrapText="1"/>
    </xf>
    <xf numFmtId="0" fontId="60" fillId="2" borderId="1" xfId="17" applyFont="1" applyFill="1" applyBorder="1" applyAlignment="1">
      <alignment horizontal="left" vertical="center" wrapText="1"/>
    </xf>
    <xf numFmtId="0" fontId="60" fillId="3" borderId="1" xfId="17" applyFont="1" applyFill="1" applyBorder="1" applyAlignment="1">
      <alignment horizontal="center" vertical="center" wrapText="1"/>
    </xf>
    <xf numFmtId="0" fontId="25" fillId="3" borderId="1" xfId="17" applyFill="1" applyBorder="1" applyAlignment="1">
      <alignment horizontal="center" vertical="center" wrapText="1"/>
    </xf>
    <xf numFmtId="0" fontId="25" fillId="0" borderId="1" xfId="17" applyBorder="1" applyAlignment="1">
      <alignment horizontal="left" vertical="center" wrapText="1"/>
    </xf>
    <xf numFmtId="0" fontId="25" fillId="2" borderId="1" xfId="17" applyFill="1" applyBorder="1" applyAlignment="1">
      <alignment horizontal="left" vertical="center" wrapText="1"/>
    </xf>
    <xf numFmtId="1" fontId="33" fillId="0" borderId="1" xfId="17" applyNumberFormat="1" applyFont="1" applyFill="1" applyBorder="1" applyAlignment="1">
      <alignment horizontal="center" vertical="center"/>
    </xf>
    <xf numFmtId="2" fontId="33" fillId="0" borderId="1" xfId="17" applyNumberFormat="1" applyFont="1" applyFill="1" applyBorder="1" applyAlignment="1">
      <alignment horizontal="center" vertical="center" wrapText="1" shrinkToFit="1"/>
    </xf>
    <xf numFmtId="2" fontId="33" fillId="0" borderId="1" xfId="17" applyNumberFormat="1" applyFont="1" applyFill="1" applyBorder="1" applyAlignment="1">
      <alignment horizontal="center" vertical="center"/>
    </xf>
    <xf numFmtId="0" fontId="34" fillId="0" borderId="49" xfId="17" applyFont="1" applyBorder="1" applyAlignment="1">
      <alignment horizontal="left" vertical="center" wrapText="1"/>
    </xf>
    <xf numFmtId="0" fontId="78" fillId="0" borderId="1" xfId="17" applyFont="1" applyFill="1" applyBorder="1" applyAlignment="1">
      <alignment vertical="center"/>
    </xf>
    <xf numFmtId="2" fontId="33" fillId="0" borderId="1" xfId="17" applyNumberFormat="1" applyFont="1" applyFill="1" applyBorder="1"/>
    <xf numFmtId="0" fontId="77" fillId="0" borderId="1" xfId="17" applyFont="1" applyFill="1" applyBorder="1" applyAlignment="1">
      <alignment horizontal="center" vertical="center" wrapText="1"/>
    </xf>
    <xf numFmtId="3" fontId="32" fillId="0" borderId="1" xfId="17" applyNumberFormat="1" applyFont="1" applyFill="1" applyBorder="1" applyAlignment="1">
      <alignment horizontal="center" vertical="center" wrapText="1"/>
    </xf>
    <xf numFmtId="3" fontId="32" fillId="2" borderId="1" xfId="17" applyNumberFormat="1" applyFont="1" applyFill="1" applyBorder="1" applyAlignment="1">
      <alignment horizontal="center" vertical="center" wrapText="1"/>
    </xf>
    <xf numFmtId="0" fontId="34" fillId="2" borderId="1" xfId="17" applyFont="1" applyFill="1" applyBorder="1" applyAlignment="1">
      <alignment horizontal="left" vertical="center" wrapText="1"/>
    </xf>
    <xf numFmtId="0" fontId="33" fillId="0" borderId="1" xfId="17" applyFont="1" applyBorder="1" applyAlignment="1">
      <alignment horizontal="center" vertical="center"/>
    </xf>
    <xf numFmtId="0" fontId="33" fillId="3" borderId="1" xfId="17" applyFont="1" applyFill="1" applyBorder="1" applyAlignment="1">
      <alignment horizontal="center" vertical="center" wrapText="1" shrinkToFit="1"/>
    </xf>
    <xf numFmtId="0" fontId="33" fillId="3" borderId="0" xfId="17" applyFont="1" applyFill="1" applyAlignment="1">
      <alignment horizontal="center" vertical="center"/>
    </xf>
    <xf numFmtId="1" fontId="33" fillId="3" borderId="1" xfId="17" applyNumberFormat="1" applyFont="1" applyFill="1" applyBorder="1" applyAlignment="1">
      <alignment horizontal="center" vertical="center" wrapText="1" shrinkToFit="1"/>
    </xf>
    <xf numFmtId="164" fontId="33" fillId="0" borderId="1" xfId="2" applyFont="1" applyBorder="1" applyAlignment="1">
      <alignment horizontal="center" vertical="center"/>
    </xf>
    <xf numFmtId="179" fontId="33" fillId="0" borderId="1" xfId="2" applyNumberFormat="1" applyFont="1" applyBorder="1" applyAlignment="1">
      <alignment horizontal="center" vertical="center"/>
    </xf>
    <xf numFmtId="0" fontId="25" fillId="0" borderId="1" xfId="17" applyFill="1" applyBorder="1" applyAlignment="1">
      <alignment horizontal="center" vertical="center"/>
    </xf>
    <xf numFmtId="0" fontId="33" fillId="0" borderId="1" xfId="17" applyFont="1" applyBorder="1" applyAlignment="1">
      <alignment horizontal="center"/>
    </xf>
    <xf numFmtId="0" fontId="60" fillId="0" borderId="1" xfId="17" applyFont="1" applyFill="1" applyBorder="1" applyAlignment="1">
      <alignment horizontal="left" vertical="center" wrapText="1"/>
    </xf>
    <xf numFmtId="0" fontId="31" fillId="0" borderId="1" xfId="17" applyFont="1" applyFill="1" applyBorder="1" applyAlignment="1">
      <alignment horizontal="center" vertical="center" wrapText="1"/>
    </xf>
    <xf numFmtId="0" fontId="10" fillId="0" borderId="1" xfId="17" applyFont="1" applyBorder="1" applyAlignment="1">
      <alignment horizontal="left" vertical="center" wrapText="1"/>
    </xf>
    <xf numFmtId="0" fontId="60" fillId="0" borderId="1" xfId="17" applyFont="1" applyBorder="1" applyAlignment="1">
      <alignment horizontal="center" vertical="center"/>
    </xf>
    <xf numFmtId="3" fontId="71" fillId="0" borderId="1" xfId="17" applyNumberFormat="1" applyFont="1" applyBorder="1" applyAlignment="1">
      <alignment horizontal="center" vertical="center" wrapText="1"/>
    </xf>
    <xf numFmtId="3" fontId="33" fillId="0" borderId="1" xfId="17" applyNumberFormat="1" applyFont="1" applyFill="1" applyBorder="1" applyAlignment="1">
      <alignment horizontal="center" vertical="center"/>
    </xf>
    <xf numFmtId="0" fontId="62" fillId="0" borderId="1" xfId="17" applyFont="1" applyBorder="1" applyAlignment="1">
      <alignment horizontal="center" vertical="center"/>
    </xf>
    <xf numFmtId="177" fontId="71" fillId="0" borderId="1" xfId="17" applyNumberFormat="1" applyFont="1" applyFill="1" applyBorder="1" applyAlignment="1">
      <alignment horizontal="center" vertical="center" wrapText="1"/>
    </xf>
    <xf numFmtId="3" fontId="71" fillId="0" borderId="1" xfId="17" applyNumberFormat="1" applyFont="1" applyFill="1" applyBorder="1" applyAlignment="1">
      <alignment horizontal="center" vertical="center" wrapText="1"/>
    </xf>
    <xf numFmtId="3" fontId="71" fillId="0" borderId="1" xfId="17" applyNumberFormat="1" applyFont="1" applyFill="1" applyBorder="1" applyAlignment="1">
      <alignment horizontal="center" vertical="center"/>
    </xf>
    <xf numFmtId="0" fontId="62" fillId="0" borderId="1" xfId="17" applyFont="1" applyFill="1" applyBorder="1" applyAlignment="1">
      <alignment horizontal="center" vertical="center"/>
    </xf>
    <xf numFmtId="0" fontId="10" fillId="0" borderId="1" xfId="17" applyFont="1" applyFill="1" applyBorder="1" applyAlignment="1">
      <alignment horizontal="left" vertical="center" wrapText="1"/>
    </xf>
    <xf numFmtId="178" fontId="33" fillId="0" borderId="1" xfId="17" applyNumberFormat="1" applyFont="1" applyFill="1" applyBorder="1" applyAlignment="1">
      <alignment horizontal="center" vertical="center"/>
    </xf>
    <xf numFmtId="0" fontId="10" fillId="0" borderId="1" xfId="17" applyFont="1" applyBorder="1" applyAlignment="1">
      <alignment horizontal="center" vertical="center" wrapText="1"/>
    </xf>
    <xf numFmtId="0" fontId="71" fillId="0" borderId="1" xfId="17" applyFont="1" applyBorder="1" applyAlignment="1">
      <alignment horizontal="center" vertical="center" wrapText="1"/>
    </xf>
    <xf numFmtId="1" fontId="33" fillId="0" borderId="1" xfId="17" applyNumberFormat="1" applyFont="1" applyBorder="1" applyAlignment="1">
      <alignment horizontal="center" vertical="center"/>
    </xf>
    <xf numFmtId="0" fontId="32" fillId="2" borderId="1" xfId="17" applyFont="1" applyFill="1" applyBorder="1" applyAlignment="1">
      <alignment horizontal="center" vertical="center" wrapText="1"/>
    </xf>
    <xf numFmtId="0" fontId="60" fillId="0" borderId="1" xfId="17" applyFont="1" applyFill="1" applyBorder="1" applyAlignment="1">
      <alignment horizontal="center" wrapText="1"/>
    </xf>
    <xf numFmtId="0" fontId="60" fillId="0" borderId="1" xfId="17" applyFont="1" applyFill="1" applyBorder="1" applyAlignment="1">
      <alignment horizontal="center" vertical="center" wrapText="1"/>
    </xf>
    <xf numFmtId="0" fontId="32" fillId="2" borderId="1" xfId="17" applyFont="1" applyFill="1" applyBorder="1" applyAlignment="1">
      <alignment horizontal="left" vertical="center" wrapText="1"/>
    </xf>
    <xf numFmtId="0" fontId="25" fillId="0" borderId="1" xfId="17" applyFill="1" applyBorder="1" applyAlignment="1">
      <alignment vertical="center"/>
    </xf>
    <xf numFmtId="170" fontId="33" fillId="0" borderId="1" xfId="2" applyNumberFormat="1" applyFont="1" applyBorder="1" applyAlignment="1">
      <alignment horizontal="center" vertical="center" wrapText="1"/>
    </xf>
    <xf numFmtId="0" fontId="33" fillId="0" borderId="1" xfId="17" applyFont="1" applyBorder="1" applyAlignment="1">
      <alignment horizontal="center" vertical="center" wrapText="1"/>
    </xf>
    <xf numFmtId="177" fontId="33" fillId="0" borderId="1" xfId="17" applyNumberFormat="1" applyFont="1" applyFill="1" applyBorder="1" applyAlignment="1" applyProtection="1">
      <alignment horizontal="center" vertical="center" wrapText="1" shrinkToFit="1"/>
      <protection locked="0"/>
    </xf>
    <xf numFmtId="177" fontId="33" fillId="0" borderId="19" xfId="17" applyNumberFormat="1" applyFont="1" applyFill="1" applyBorder="1" applyAlignment="1" applyProtection="1">
      <alignment horizontal="center" vertical="center" wrapText="1" shrinkToFit="1"/>
      <protection locked="0"/>
    </xf>
    <xf numFmtId="0" fontId="62" fillId="0" borderId="69" xfId="22" applyFont="1" applyFill="1" applyBorder="1" applyAlignment="1">
      <alignment horizontal="center" vertical="center" wrapText="1"/>
    </xf>
    <xf numFmtId="0" fontId="62" fillId="0" borderId="72" xfId="22" applyFont="1" applyFill="1" applyBorder="1" applyAlignment="1">
      <alignment horizontal="center" vertical="center" wrapText="1"/>
    </xf>
    <xf numFmtId="0" fontId="62" fillId="0" borderId="71" xfId="22" applyFont="1" applyFill="1" applyBorder="1" applyAlignment="1">
      <alignment horizontal="center" vertical="center" wrapText="1"/>
    </xf>
    <xf numFmtId="0" fontId="62" fillId="0" borderId="55" xfId="22" applyFont="1" applyFill="1" applyBorder="1" applyAlignment="1">
      <alignment horizontal="center" vertical="center" wrapText="1"/>
    </xf>
    <xf numFmtId="0" fontId="62" fillId="0" borderId="73" xfId="22" applyFont="1" applyFill="1" applyBorder="1" applyAlignment="1">
      <alignment horizontal="center" vertical="center" wrapText="1"/>
    </xf>
    <xf numFmtId="0" fontId="31" fillId="0" borderId="71" xfId="22" applyFont="1" applyFill="1" applyBorder="1" applyAlignment="1">
      <alignment horizontal="center" vertical="center" wrapText="1"/>
    </xf>
    <xf numFmtId="0" fontId="60" fillId="0" borderId="56" xfId="22" applyFont="1" applyFill="1" applyBorder="1" applyAlignment="1">
      <alignment horizontal="center" vertical="center" wrapText="1"/>
    </xf>
    <xf numFmtId="0" fontId="60" fillId="0" borderId="71" xfId="22" applyFont="1" applyFill="1" applyBorder="1" applyAlignment="1">
      <alignment horizontal="center" vertical="center" wrapText="1"/>
    </xf>
    <xf numFmtId="0" fontId="60" fillId="0" borderId="69" xfId="22" applyFont="1" applyFill="1" applyBorder="1" applyAlignment="1">
      <alignment horizontal="center" vertical="center" wrapText="1"/>
    </xf>
    <xf numFmtId="0" fontId="60" fillId="0" borderId="55" xfId="22" applyFont="1" applyFill="1" applyBorder="1" applyAlignment="1">
      <alignment horizontal="center" vertical="center" wrapText="1"/>
    </xf>
    <xf numFmtId="0" fontId="10" fillId="0" borderId="71" xfId="22" applyFont="1" applyFill="1" applyBorder="1" applyAlignment="1">
      <alignment horizontal="center" vertical="center" wrapText="1"/>
    </xf>
    <xf numFmtId="3" fontId="37" fillId="0" borderId="77" xfId="0" applyNumberFormat="1" applyFont="1" applyFill="1" applyBorder="1" applyAlignment="1" applyProtection="1">
      <alignment horizontal="right"/>
      <protection locked="0"/>
    </xf>
    <xf numFmtId="3" fontId="37" fillId="0" borderId="74" xfId="0" applyNumberFormat="1" applyFont="1" applyFill="1" applyBorder="1" applyAlignment="1" applyProtection="1">
      <alignment horizontal="right"/>
      <protection locked="0"/>
    </xf>
    <xf numFmtId="3" fontId="37" fillId="0" borderId="78" xfId="0" applyNumberFormat="1" applyFont="1" applyFill="1" applyBorder="1" applyAlignment="1" applyProtection="1">
      <alignment horizontal="right"/>
      <protection locked="0"/>
    </xf>
    <xf numFmtId="3" fontId="37" fillId="0" borderId="76" xfId="0" applyNumberFormat="1" applyFont="1" applyFill="1" applyBorder="1" applyAlignment="1" applyProtection="1">
      <alignment horizontal="right"/>
      <protection locked="0"/>
    </xf>
    <xf numFmtId="3" fontId="37" fillId="0" borderId="8" xfId="0" applyNumberFormat="1" applyFont="1" applyFill="1" applyBorder="1" applyAlignment="1" applyProtection="1">
      <alignment horizontal="right"/>
      <protection locked="0"/>
    </xf>
    <xf numFmtId="3" fontId="0" fillId="0" borderId="8" xfId="0" applyNumberFormat="1" applyFont="1" applyFill="1" applyBorder="1" applyAlignment="1" applyProtection="1">
      <alignment horizontal="right"/>
      <protection locked="0"/>
    </xf>
    <xf numFmtId="169" fontId="37" fillId="0" borderId="34" xfId="0" applyNumberFormat="1" applyFont="1" applyFill="1" applyBorder="1" applyAlignment="1" applyProtection="1">
      <alignment horizontal="right"/>
      <protection locked="0"/>
    </xf>
    <xf numFmtId="169" fontId="37" fillId="0" borderId="1" xfId="0" applyNumberFormat="1" applyFont="1" applyFill="1" applyBorder="1" applyAlignment="1" applyProtection="1">
      <alignment horizontal="right"/>
    </xf>
    <xf numFmtId="169" fontId="37" fillId="0" borderId="19" xfId="0" applyNumberFormat="1" applyFont="1" applyFill="1" applyBorder="1" applyAlignment="1" applyProtection="1">
      <alignment horizontal="right"/>
      <protection locked="0"/>
    </xf>
    <xf numFmtId="169" fontId="0" fillId="0" borderId="1" xfId="0" applyNumberFormat="1" applyFont="1" applyFill="1" applyBorder="1" applyAlignment="1" applyProtection="1">
      <alignment horizontal="right"/>
    </xf>
    <xf numFmtId="3" fontId="37" fillId="0" borderId="34" xfId="0" applyNumberFormat="1" applyFont="1" applyFill="1" applyBorder="1" applyAlignment="1" applyProtection="1">
      <alignment horizontal="right"/>
      <protection locked="0"/>
    </xf>
    <xf numFmtId="3" fontId="37" fillId="0" borderId="1" xfId="22" applyNumberFormat="1" applyFont="1" applyFill="1" applyBorder="1" applyAlignment="1" applyProtection="1">
      <alignment horizontal="right" wrapText="1"/>
      <protection locked="0"/>
    </xf>
    <xf numFmtId="3" fontId="37" fillId="0" borderId="19" xfId="0" applyNumberFormat="1" applyFont="1" applyFill="1" applyBorder="1" applyAlignment="1" applyProtection="1">
      <alignment horizontal="right"/>
      <protection locked="0"/>
    </xf>
    <xf numFmtId="3" fontId="0" fillId="0" borderId="1" xfId="22" applyNumberFormat="1" applyFont="1" applyFill="1" applyBorder="1" applyAlignment="1" applyProtection="1">
      <alignment horizontal="right" wrapText="1"/>
      <protection locked="0"/>
    </xf>
    <xf numFmtId="1" fontId="37" fillId="0" borderId="34" xfId="0" applyNumberFormat="1" applyFont="1" applyFill="1" applyBorder="1" applyAlignment="1" applyProtection="1">
      <alignment horizontal="right"/>
      <protection locked="0"/>
    </xf>
    <xf numFmtId="1" fontId="37" fillId="0" borderId="1" xfId="22" applyNumberFormat="1" applyFont="1" applyFill="1" applyBorder="1" applyAlignment="1" applyProtection="1">
      <alignment horizontal="right" wrapText="1"/>
      <protection locked="0"/>
    </xf>
    <xf numFmtId="1" fontId="37" fillId="0" borderId="19" xfId="0" applyNumberFormat="1" applyFont="1" applyFill="1" applyBorder="1" applyAlignment="1" applyProtection="1">
      <alignment horizontal="right"/>
      <protection locked="0"/>
    </xf>
    <xf numFmtId="1" fontId="0" fillId="0" borderId="1" xfId="22" applyNumberFormat="1" applyFont="1" applyFill="1" applyBorder="1" applyAlignment="1" applyProtection="1">
      <alignment horizontal="right" wrapText="1"/>
      <protection locked="0"/>
    </xf>
    <xf numFmtId="4" fontId="71" fillId="3" borderId="34" xfId="22" applyNumberFormat="1" applyFont="1" applyFill="1" applyBorder="1" applyAlignment="1">
      <alignment horizontal="right" wrapText="1"/>
    </xf>
    <xf numFmtId="4" fontId="71" fillId="3" borderId="1" xfId="22" applyNumberFormat="1" applyFont="1" applyFill="1" applyBorder="1" applyAlignment="1">
      <alignment horizontal="right" wrapText="1"/>
    </xf>
    <xf numFmtId="4" fontId="71" fillId="3" borderId="19" xfId="22" applyNumberFormat="1" applyFont="1" applyFill="1" applyBorder="1" applyAlignment="1">
      <alignment horizontal="right" wrapText="1"/>
    </xf>
    <xf numFmtId="169" fontId="81" fillId="0" borderId="34" xfId="0" applyNumberFormat="1" applyFont="1" applyFill="1" applyBorder="1" applyAlignment="1" applyProtection="1">
      <alignment horizontal="right"/>
      <protection locked="0"/>
    </xf>
    <xf numFmtId="169" fontId="81" fillId="0" borderId="22" xfId="0" applyNumberFormat="1" applyFont="1" applyFill="1" applyBorder="1" applyAlignment="1" applyProtection="1">
      <alignment horizontal="right"/>
    </xf>
    <xf numFmtId="169" fontId="81" fillId="0" borderId="19" xfId="0" applyNumberFormat="1" applyFont="1" applyFill="1" applyBorder="1" applyAlignment="1" applyProtection="1">
      <alignment horizontal="right"/>
      <protection locked="0"/>
    </xf>
    <xf numFmtId="169" fontId="82" fillId="0" borderId="22" xfId="0" applyNumberFormat="1" applyFont="1" applyFill="1" applyBorder="1" applyAlignment="1" applyProtection="1">
      <alignment horizontal="right"/>
    </xf>
    <xf numFmtId="3" fontId="81" fillId="0" borderId="77" xfId="22" applyNumberFormat="1" applyFont="1" applyFill="1" applyBorder="1" applyAlignment="1" applyProtection="1">
      <alignment horizontal="right"/>
    </xf>
    <xf numFmtId="3" fontId="81" fillId="0" borderId="74" xfId="22" applyNumberFormat="1" applyFont="1" applyFill="1" applyBorder="1" applyAlignment="1" applyProtection="1">
      <alignment horizontal="right"/>
    </xf>
    <xf numFmtId="169" fontId="81" fillId="0" borderId="34" xfId="22" applyNumberFormat="1" applyFont="1" applyFill="1" applyBorder="1" applyAlignment="1" applyProtection="1">
      <alignment horizontal="right"/>
    </xf>
    <xf numFmtId="169" fontId="81" fillId="0" borderId="1" xfId="22" applyNumberFormat="1" applyFont="1" applyFill="1" applyBorder="1" applyAlignment="1" applyProtection="1">
      <alignment horizontal="right"/>
    </xf>
    <xf numFmtId="169" fontId="81" fillId="0" borderId="19" xfId="22" applyNumberFormat="1" applyFont="1" applyFill="1" applyBorder="1" applyAlignment="1" applyProtection="1">
      <alignment horizontal="right"/>
      <protection locked="0"/>
    </xf>
    <xf numFmtId="169" fontId="81" fillId="0" borderId="1" xfId="22" applyNumberFormat="1" applyFont="1" applyFill="1" applyBorder="1" applyAlignment="1" applyProtection="1">
      <alignment horizontal="right"/>
      <protection locked="0"/>
    </xf>
    <xf numFmtId="169" fontId="82" fillId="0" borderId="1" xfId="22" applyNumberFormat="1" applyFont="1" applyFill="1" applyBorder="1" applyAlignment="1" applyProtection="1">
      <alignment horizontal="right"/>
    </xf>
    <xf numFmtId="3" fontId="81" fillId="0" borderId="80" xfId="22" applyNumberFormat="1" applyFont="1" applyFill="1" applyBorder="1" applyAlignment="1" applyProtection="1">
      <alignment horizontal="right"/>
    </xf>
    <xf numFmtId="3" fontId="81" fillId="0" borderId="22" xfId="22" applyNumberFormat="1" applyFont="1" applyFill="1" applyBorder="1" applyAlignment="1" applyProtection="1">
      <alignment horizontal="right"/>
    </xf>
    <xf numFmtId="3" fontId="81" fillId="0" borderId="24" xfId="22" applyNumberFormat="1" applyFont="1" applyFill="1" applyBorder="1" applyAlignment="1" applyProtection="1">
      <alignment horizontal="right"/>
      <protection locked="0"/>
    </xf>
    <xf numFmtId="3" fontId="82" fillId="0" borderId="22" xfId="22" applyNumberFormat="1" applyFont="1" applyFill="1" applyBorder="1" applyAlignment="1" applyProtection="1">
      <alignment horizontal="right"/>
    </xf>
    <xf numFmtId="3" fontId="81" fillId="2" borderId="76" xfId="22" applyNumberFormat="1" applyFont="1" applyFill="1" applyBorder="1" applyAlignment="1" applyProtection="1">
      <alignment horizontal="center" vertical="center"/>
    </xf>
    <xf numFmtId="3" fontId="81" fillId="0" borderId="77" xfId="22" applyNumberFormat="1" applyFont="1" applyFill="1" applyBorder="1" applyAlignment="1" applyProtection="1">
      <alignment horizontal="center" vertical="center"/>
    </xf>
    <xf numFmtId="3" fontId="81" fillId="0" borderId="74" xfId="22" applyNumberFormat="1" applyFont="1" applyFill="1" applyBorder="1" applyAlignment="1" applyProtection="1">
      <alignment horizontal="center" vertical="center"/>
    </xf>
    <xf numFmtId="3" fontId="82" fillId="0" borderId="74" xfId="22" applyNumberFormat="1" applyFont="1" applyFill="1" applyBorder="1" applyAlignment="1" applyProtection="1">
      <alignment horizontal="center" vertical="center"/>
    </xf>
    <xf numFmtId="0" fontId="0" fillId="0" borderId="12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1" fillId="0" borderId="0" xfId="16" applyFont="1" applyAlignment="1"/>
    <xf numFmtId="166" fontId="0" fillId="0" borderId="0" xfId="0" applyNumberFormat="1"/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6" fillId="0" borderId="0" xfId="7" applyFont="1" applyAlignment="1">
      <alignment horizontal="right" vertical="center" wrapText="1"/>
    </xf>
    <xf numFmtId="0" fontId="31" fillId="0" borderId="1" xfId="21" applyFont="1" applyFill="1" applyBorder="1" applyAlignment="1" applyProtection="1">
      <alignment horizontal="center" vertical="center" wrapText="1"/>
    </xf>
    <xf numFmtId="0" fontId="69" fillId="0" borderId="1" xfId="1" applyFont="1" applyFill="1" applyBorder="1" applyAlignment="1" applyProtection="1">
      <alignment horizontal="center" vertical="center" wrapText="1"/>
    </xf>
    <xf numFmtId="0" fontId="57" fillId="0" borderId="1" xfId="21" applyFont="1" applyFill="1" applyBorder="1" applyAlignment="1" applyProtection="1">
      <alignment horizontal="center" vertical="center" wrapText="1"/>
    </xf>
    <xf numFmtId="0" fontId="69" fillId="0" borderId="1" xfId="1" applyFont="1" applyFill="1" applyBorder="1" applyAlignment="1" applyProtection="1">
      <alignment horizontal="center" vertical="center" wrapText="1"/>
      <protection locked="0"/>
    </xf>
    <xf numFmtId="0" fontId="69" fillId="2" borderId="1" xfId="1" applyFont="1" applyFill="1" applyBorder="1" applyAlignment="1" applyProtection="1">
      <alignment horizontal="center" vertical="center" wrapText="1"/>
      <protection locked="0"/>
    </xf>
    <xf numFmtId="0" fontId="25" fillId="0" borderId="1" xfId="17" applyBorder="1" applyAlignment="1">
      <alignment horizontal="center" vertical="center" wrapText="1"/>
    </xf>
    <xf numFmtId="0" fontId="22" fillId="0" borderId="0" xfId="7" applyFont="1" applyAlignment="1">
      <alignment horizontal="center" vertical="center" wrapText="1"/>
    </xf>
    <xf numFmtId="0" fontId="72" fillId="0" borderId="1" xfId="1" applyFont="1" applyFill="1" applyBorder="1" applyAlignment="1" applyProtection="1">
      <alignment horizontal="center" vertical="center" wrapText="1"/>
      <protection locked="0"/>
    </xf>
    <xf numFmtId="0" fontId="29" fillId="0" borderId="1" xfId="17" applyFont="1" applyBorder="1" applyAlignment="1">
      <alignment horizontal="center" vertical="center" wrapText="1"/>
    </xf>
    <xf numFmtId="0" fontId="72" fillId="2" borderId="1" xfId="1" applyFont="1" applyFill="1" applyBorder="1" applyAlignment="1" applyProtection="1">
      <alignment horizontal="center" vertical="center" wrapText="1"/>
      <protection locked="0"/>
    </xf>
    <xf numFmtId="49" fontId="27" fillId="0" borderId="40" xfId="0" applyNumberFormat="1" applyFont="1" applyBorder="1" applyAlignment="1">
      <alignment horizontal="left" vertical="center"/>
    </xf>
    <xf numFmtId="49" fontId="27" fillId="0" borderId="50" xfId="0" applyNumberFormat="1" applyFont="1" applyBorder="1" applyAlignment="1">
      <alignment horizontal="left" vertical="center"/>
    </xf>
    <xf numFmtId="0" fontId="72" fillId="2" borderId="7" xfId="1" applyFont="1" applyFill="1" applyBorder="1" applyAlignment="1" applyProtection="1">
      <alignment horizontal="center" vertical="center" wrapText="1"/>
      <protection locked="0"/>
    </xf>
    <xf numFmtId="0" fontId="72" fillId="2" borderId="8" xfId="1" applyFont="1" applyFill="1" applyBorder="1" applyAlignment="1" applyProtection="1">
      <alignment horizontal="center" vertical="center" wrapText="1"/>
      <protection locked="0"/>
    </xf>
    <xf numFmtId="0" fontId="29" fillId="2" borderId="1" xfId="17" applyFont="1" applyFill="1" applyBorder="1" applyAlignment="1">
      <alignment horizontal="center" vertical="center" wrapText="1"/>
    </xf>
    <xf numFmtId="0" fontId="62" fillId="2" borderId="66" xfId="22" applyFont="1" applyFill="1" applyBorder="1" applyAlignment="1">
      <alignment horizontal="center" vertical="center" wrapText="1"/>
    </xf>
    <xf numFmtId="0" fontId="62" fillId="2" borderId="67" xfId="22" applyFont="1" applyFill="1" applyBorder="1" applyAlignment="1">
      <alignment horizontal="center" vertical="center" wrapText="1"/>
    </xf>
    <xf numFmtId="0" fontId="62" fillId="2" borderId="68" xfId="22" applyFont="1" applyFill="1" applyBorder="1" applyAlignment="1">
      <alignment horizontal="center" vertical="center" wrapText="1"/>
    </xf>
    <xf numFmtId="0" fontId="62" fillId="2" borderId="56" xfId="22" applyFont="1" applyFill="1" applyBorder="1" applyAlignment="1">
      <alignment horizontal="center" vertical="center" wrapText="1"/>
    </xf>
    <xf numFmtId="0" fontId="62" fillId="2" borderId="57" xfId="22" applyFont="1" applyFill="1" applyBorder="1" applyAlignment="1">
      <alignment horizontal="center" vertical="center" wrapText="1"/>
    </xf>
    <xf numFmtId="0" fontId="62" fillId="2" borderId="58" xfId="22" applyFont="1" applyFill="1" applyBorder="1" applyAlignment="1">
      <alignment horizontal="center" vertical="center" wrapText="1"/>
    </xf>
    <xf numFmtId="0" fontId="65" fillId="0" borderId="0" xfId="190" applyFont="1" applyAlignment="1">
      <alignment vertical="center" wrapText="1"/>
    </xf>
    <xf numFmtId="0" fontId="66" fillId="0" borderId="0" xfId="190" applyFont="1" applyAlignment="1">
      <alignment horizontal="center" vertical="center" wrapText="1"/>
    </xf>
    <xf numFmtId="0" fontId="62" fillId="0" borderId="62" xfId="190" applyFont="1" applyBorder="1" applyAlignment="1">
      <alignment horizontal="center" vertical="center" wrapText="1"/>
    </xf>
    <xf numFmtId="0" fontId="62" fillId="0" borderId="9" xfId="190" applyFont="1" applyBorder="1" applyAlignment="1">
      <alignment horizontal="center" vertical="center"/>
    </xf>
    <xf numFmtId="0" fontId="62" fillId="0" borderId="63" xfId="190" applyFont="1" applyBorder="1" applyAlignment="1">
      <alignment horizontal="center" vertical="center"/>
    </xf>
    <xf numFmtId="0" fontId="62" fillId="0" borderId="70" xfId="190" applyFont="1" applyBorder="1" applyAlignment="1">
      <alignment horizontal="center" vertical="center"/>
    </xf>
    <xf numFmtId="0" fontId="62" fillId="0" borderId="55" xfId="190" applyFont="1" applyBorder="1" applyAlignment="1">
      <alignment horizontal="center" vertical="center" wrapText="1"/>
    </xf>
    <xf numFmtId="0" fontId="62" fillId="0" borderId="59" xfId="190" applyFont="1" applyBorder="1" applyAlignment="1">
      <alignment horizontal="center" vertical="center"/>
    </xf>
    <xf numFmtId="0" fontId="62" fillId="0" borderId="64" xfId="190" applyFont="1" applyBorder="1" applyAlignment="1">
      <alignment horizontal="center" vertical="center" wrapText="1"/>
    </xf>
    <xf numFmtId="0" fontId="62" fillId="0" borderId="26" xfId="190" applyFont="1" applyBorder="1" applyAlignment="1">
      <alignment horizontal="center" vertical="center" wrapText="1"/>
    </xf>
    <xf numFmtId="0" fontId="62" fillId="0" borderId="65" xfId="190" applyFont="1" applyBorder="1" applyAlignment="1">
      <alignment horizontal="center" vertical="center" wrapText="1"/>
    </xf>
    <xf numFmtId="0" fontId="62" fillId="0" borderId="66" xfId="190" applyFont="1" applyBorder="1" applyAlignment="1">
      <alignment horizontal="center" vertical="center" wrapText="1"/>
    </xf>
    <xf numFmtId="0" fontId="62" fillId="0" borderId="67" xfId="190" applyFont="1" applyBorder="1" applyAlignment="1">
      <alignment horizontal="center" vertical="center" wrapText="1"/>
    </xf>
    <xf numFmtId="0" fontId="62" fillId="0" borderId="68" xfId="190" applyFont="1" applyBorder="1" applyAlignment="1">
      <alignment horizontal="center" vertical="center" wrapText="1"/>
    </xf>
    <xf numFmtId="0" fontId="62" fillId="2" borderId="64" xfId="22" applyFont="1" applyFill="1" applyBorder="1" applyAlignment="1">
      <alignment horizontal="center" vertical="center" wrapText="1"/>
    </xf>
    <xf numFmtId="0" fontId="62" fillId="2" borderId="26" xfId="22" applyFont="1" applyFill="1" applyBorder="1" applyAlignment="1">
      <alignment horizontal="center" vertical="center" wrapText="1"/>
    </xf>
    <xf numFmtId="0" fontId="62" fillId="2" borderId="65" xfId="22" applyFont="1" applyFill="1" applyBorder="1" applyAlignment="1">
      <alignment horizontal="center" vertical="center" wrapText="1"/>
    </xf>
    <xf numFmtId="0" fontId="67" fillId="0" borderId="0" xfId="190" applyFont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40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0" fillId="0" borderId="7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0" fontId="14" fillId="0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37" fillId="0" borderId="9" xfId="0" applyFont="1" applyFill="1" applyBorder="1" applyAlignment="1">
      <alignment horizontal="left" vertical="center" wrapText="1"/>
    </xf>
    <xf numFmtId="0" fontId="37" fillId="0" borderId="52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37" fillId="0" borderId="45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37" fillId="0" borderId="53" xfId="0" applyFont="1" applyFill="1" applyBorder="1" applyAlignment="1">
      <alignment horizontal="left" vertical="center" wrapText="1"/>
    </xf>
    <xf numFmtId="0" fontId="37" fillId="0" borderId="10" xfId="0" applyFont="1" applyFill="1" applyBorder="1" applyAlignment="1">
      <alignment horizontal="left" vertical="center" wrapText="1"/>
    </xf>
    <xf numFmtId="0" fontId="37" fillId="0" borderId="54" xfId="0" applyFont="1" applyFill="1" applyBorder="1" applyAlignment="1">
      <alignment horizontal="left" vertical="center" wrapText="1"/>
    </xf>
    <xf numFmtId="0" fontId="37" fillId="0" borderId="11" xfId="0" applyFont="1" applyFill="1" applyBorder="1" applyAlignment="1">
      <alignment horizontal="left" vertical="center" wrapText="1"/>
    </xf>
  </cellXfs>
  <cellStyles count="192">
    <cellStyle name="_ 13.09.2012 для МФ в ред. 09.10.2012" xfId="30" xr:uid="{00000000-0005-0000-0000-000000000000}"/>
    <cellStyle name="_3 сцен-2020-значен " xfId="31" xr:uid="{00000000-0005-0000-0000-000001000000}"/>
    <cellStyle name="_macro(2 авг)" xfId="32" xr:uid="{00000000-0005-0000-0000-000002000000}"/>
    <cellStyle name="_Бюджетная система" xfId="33" xr:uid="{00000000-0005-0000-0000-000003000000}"/>
    <cellStyle name="_ДБС 09 04 2007_для БФР НЕ ТРОГАТЬ!!!" xfId="34" xr:uid="{00000000-0005-0000-0000-000004000000}"/>
    <cellStyle name="_Книга1 (2)" xfId="35" xr:uid="{00000000-0005-0000-0000-000005000000}"/>
    <cellStyle name="_КП на 28.01.2012" xfId="36" xr:uid="{00000000-0005-0000-0000-000006000000}"/>
    <cellStyle name="_КП на 28.12.2011" xfId="37" xr:uid="{00000000-0005-0000-0000-000007000000}"/>
    <cellStyle name="_Лист1" xfId="38" xr:uid="{00000000-0005-0000-0000-000008000000}"/>
    <cellStyle name="_Пенсионный фонд" xfId="39" xr:uid="{00000000-0005-0000-0000-000009000000}"/>
    <cellStyle name="_проет бюджета ПФР Минздрав" xfId="40" xr:uid="{00000000-0005-0000-0000-00000A000000}"/>
    <cellStyle name="_расходы по вариантам" xfId="41" xr:uid="{00000000-0005-0000-0000-00000B000000}"/>
    <cellStyle name="_Расходы ФБ до 2020-Inn" xfId="42" xr:uid="{00000000-0005-0000-0000-00000C000000}"/>
    <cellStyle name="_Расчет ПФР" xfId="43" xr:uid="{00000000-0005-0000-0000-00000D000000}"/>
    <cellStyle name="_РИХ с разбивкой" xfId="44" xr:uid="{00000000-0005-0000-0000-00000E000000}"/>
    <cellStyle name="_свод" xfId="45" xr:uid="{00000000-0005-0000-0000-00000F000000}"/>
    <cellStyle name="_Сводная 2011-2014 ОСНОВНАЯ      20.09" xfId="46" xr:uid="{00000000-0005-0000-0000-000010000000}"/>
    <cellStyle name="_Сводная 2011-2014 ОСНОВНАЯ 02.09" xfId="47" xr:uid="{00000000-0005-0000-0000-000011000000}"/>
    <cellStyle name="_справка по России" xfId="48" xr:uid="{00000000-0005-0000-0000-000012000000}"/>
    <cellStyle name="_Справочные таблицы СФБ" xfId="49" xr:uid="{00000000-0005-0000-0000-000013000000}"/>
    <cellStyle name="_сх маш" xfId="50" xr:uid="{00000000-0005-0000-0000-000014000000}"/>
    <cellStyle name="Comma0" xfId="51" xr:uid="{00000000-0005-0000-0000-000015000000}"/>
    <cellStyle name="Currency0" xfId="52" xr:uid="{00000000-0005-0000-0000-000016000000}"/>
    <cellStyle name="Date" xfId="53" xr:uid="{00000000-0005-0000-0000-000017000000}"/>
    <cellStyle name="day of week" xfId="54" xr:uid="{00000000-0005-0000-0000-000018000000}"/>
    <cellStyle name="Euro" xfId="55" xr:uid="{00000000-0005-0000-0000-000019000000}"/>
    <cellStyle name="Fixed" xfId="56" xr:uid="{00000000-0005-0000-0000-00001A000000}"/>
    <cellStyle name="Header style" xfId="57" xr:uid="{00000000-0005-0000-0000-00001B000000}"/>
    <cellStyle name="Heading 1" xfId="58" xr:uid="{00000000-0005-0000-0000-00001C000000}"/>
    <cellStyle name="Heading 2" xfId="59" xr:uid="{00000000-0005-0000-0000-00001D000000}"/>
    <cellStyle name="MTW" xfId="60" xr:uid="{00000000-0005-0000-0000-00001E000000}"/>
    <cellStyle name="My_own" xfId="61" xr:uid="{00000000-0005-0000-0000-00001F000000}"/>
    <cellStyle name="Normal_Book2" xfId="62" xr:uid="{00000000-0005-0000-0000-000020000000}"/>
    <cellStyle name="Total" xfId="63" xr:uid="{00000000-0005-0000-0000-000021000000}"/>
    <cellStyle name="USD" xfId="64" xr:uid="{00000000-0005-0000-0000-000022000000}"/>
    <cellStyle name="USD Paren" xfId="65" xr:uid="{00000000-0005-0000-0000-000023000000}"/>
    <cellStyle name="USD_AllTables" xfId="66" xr:uid="{00000000-0005-0000-0000-000024000000}"/>
    <cellStyle name="Данные (редактируемые)" xfId="67" xr:uid="{00000000-0005-0000-0000-000025000000}"/>
    <cellStyle name="Данные (редактируемые) 2" xfId="68" xr:uid="{00000000-0005-0000-0000-000026000000}"/>
    <cellStyle name="Данные (только для чтения)" xfId="69" xr:uid="{00000000-0005-0000-0000-000027000000}"/>
    <cellStyle name="Данные (только для чтения) 2" xfId="70" xr:uid="{00000000-0005-0000-0000-000028000000}"/>
    <cellStyle name="Данные (только для чтения) 3" xfId="71" xr:uid="{00000000-0005-0000-0000-000029000000}"/>
    <cellStyle name="Данные (только для чтения) 4" xfId="72" xr:uid="{00000000-0005-0000-0000-00002A000000}"/>
    <cellStyle name="Данные (только для чтения) 5" xfId="73" xr:uid="{00000000-0005-0000-0000-00002B000000}"/>
    <cellStyle name="Данные (только для чтения) 6" xfId="74" xr:uid="{00000000-0005-0000-0000-00002C000000}"/>
    <cellStyle name="Данные (только для чтения)_к прогнозу" xfId="75" xr:uid="{00000000-0005-0000-0000-00002D000000}"/>
    <cellStyle name="Данные для удаления" xfId="76" xr:uid="{00000000-0005-0000-0000-00002E000000}"/>
    <cellStyle name="Заголовки полей" xfId="77" xr:uid="{00000000-0005-0000-0000-00002F000000}"/>
    <cellStyle name="Заголовки полей [печать]" xfId="78" xr:uid="{00000000-0005-0000-0000-000030000000}"/>
    <cellStyle name="Заголовки полей 2" xfId="79" xr:uid="{00000000-0005-0000-0000-000031000000}"/>
    <cellStyle name="Заголовки полей 3" xfId="80" xr:uid="{00000000-0005-0000-0000-000032000000}"/>
    <cellStyle name="Заголовки полей 4" xfId="81" xr:uid="{00000000-0005-0000-0000-000033000000}"/>
    <cellStyle name="Заголовки полей 5" xfId="82" xr:uid="{00000000-0005-0000-0000-000034000000}"/>
    <cellStyle name="Заголовки полей 6" xfId="83" xr:uid="{00000000-0005-0000-0000-000035000000}"/>
    <cellStyle name="Заголовки полей_к прогнозу" xfId="84" xr:uid="{00000000-0005-0000-0000-000036000000}"/>
    <cellStyle name="Заголовок меры" xfId="85" xr:uid="{00000000-0005-0000-0000-000037000000}"/>
    <cellStyle name="Заголовок меры 2" xfId="86" xr:uid="{00000000-0005-0000-0000-000038000000}"/>
    <cellStyle name="Заголовок меры 3" xfId="87" xr:uid="{00000000-0005-0000-0000-000039000000}"/>
    <cellStyle name="Заголовок меры 4" xfId="88" xr:uid="{00000000-0005-0000-0000-00003A000000}"/>
    <cellStyle name="Заголовок меры 5" xfId="89" xr:uid="{00000000-0005-0000-0000-00003B000000}"/>
    <cellStyle name="Заголовок меры_к прогнозу" xfId="90" xr:uid="{00000000-0005-0000-0000-00003C000000}"/>
    <cellStyle name="Заголовок показателя [печать]" xfId="91" xr:uid="{00000000-0005-0000-0000-00003D000000}"/>
    <cellStyle name="Заголовок показателя константы" xfId="92" xr:uid="{00000000-0005-0000-0000-00003E000000}"/>
    <cellStyle name="Заголовок результата расчета" xfId="93" xr:uid="{00000000-0005-0000-0000-00003F000000}"/>
    <cellStyle name="Заголовок свободного показателя" xfId="94" xr:uid="{00000000-0005-0000-0000-000040000000}"/>
    <cellStyle name="Заголовок свободного показателя 2" xfId="95" xr:uid="{00000000-0005-0000-0000-000041000000}"/>
    <cellStyle name="Значение фильтра" xfId="96" xr:uid="{00000000-0005-0000-0000-000042000000}"/>
    <cellStyle name="Значение фильтра [печать]" xfId="97" xr:uid="{00000000-0005-0000-0000-000043000000}"/>
    <cellStyle name="Значение фильтра 2" xfId="98" xr:uid="{00000000-0005-0000-0000-000044000000}"/>
    <cellStyle name="Значение фильтра 3" xfId="99" xr:uid="{00000000-0005-0000-0000-000045000000}"/>
    <cellStyle name="Значение фильтра 4" xfId="100" xr:uid="{00000000-0005-0000-0000-000046000000}"/>
    <cellStyle name="Значение фильтра 5" xfId="101" xr:uid="{00000000-0005-0000-0000-000047000000}"/>
    <cellStyle name="Информация о задаче" xfId="102" xr:uid="{00000000-0005-0000-0000-000048000000}"/>
    <cellStyle name="Информация о задаче 2" xfId="103" xr:uid="{00000000-0005-0000-0000-000049000000}"/>
    <cellStyle name="Информация о задаче 3" xfId="104" xr:uid="{00000000-0005-0000-0000-00004A000000}"/>
    <cellStyle name="Информация о задаче 4" xfId="105" xr:uid="{00000000-0005-0000-0000-00004B000000}"/>
    <cellStyle name="Название 2" xfId="24" xr:uid="{00000000-0005-0000-0000-00004C000000}"/>
    <cellStyle name="Обычный" xfId="0" builtinId="0"/>
    <cellStyle name="Обычный 10" xfId="23" xr:uid="{00000000-0005-0000-0000-00004E000000}"/>
    <cellStyle name="Обычный 2" xfId="1" xr:uid="{00000000-0005-0000-0000-00004F000000}"/>
    <cellStyle name="Обычный 2 2" xfId="22" xr:uid="{00000000-0005-0000-0000-000050000000}"/>
    <cellStyle name="Обычный 2 2 2" xfId="190" xr:uid="{00000000-0005-0000-0000-000051000000}"/>
    <cellStyle name="Обычный 2 3" xfId="27" xr:uid="{00000000-0005-0000-0000-000052000000}"/>
    <cellStyle name="Обычный 3" xfId="3" xr:uid="{00000000-0005-0000-0000-000053000000}"/>
    <cellStyle name="Обычный 3 2" xfId="10" xr:uid="{00000000-0005-0000-0000-000054000000}"/>
    <cellStyle name="Обычный 3 3" xfId="17" xr:uid="{00000000-0005-0000-0000-000055000000}"/>
    <cellStyle name="Обычный 3 3 2" xfId="106" xr:uid="{00000000-0005-0000-0000-000056000000}"/>
    <cellStyle name="Обычный 3 4" xfId="107" xr:uid="{00000000-0005-0000-0000-000057000000}"/>
    <cellStyle name="Обычный 3 5" xfId="108" xr:uid="{00000000-0005-0000-0000-000058000000}"/>
    <cellStyle name="Обычный 3 5 2" xfId="109" xr:uid="{00000000-0005-0000-0000-000059000000}"/>
    <cellStyle name="Обычный 4" xfId="7" xr:uid="{00000000-0005-0000-0000-00005A000000}"/>
    <cellStyle name="Обычный 4 2" xfId="19" xr:uid="{00000000-0005-0000-0000-00005B000000}"/>
    <cellStyle name="Обычный 4 2 2" xfId="110" xr:uid="{00000000-0005-0000-0000-00005C000000}"/>
    <cellStyle name="Обычный 4 2 3" xfId="29" xr:uid="{00000000-0005-0000-0000-00005D000000}"/>
    <cellStyle name="Обычный 4 2 4" xfId="111" xr:uid="{00000000-0005-0000-0000-00005E000000}"/>
    <cellStyle name="Обычный 4 3" xfId="112" xr:uid="{00000000-0005-0000-0000-00005F000000}"/>
    <cellStyle name="Обычный 4 4" xfId="113" xr:uid="{00000000-0005-0000-0000-000060000000}"/>
    <cellStyle name="Обычный 5" xfId="9" xr:uid="{00000000-0005-0000-0000-000061000000}"/>
    <cellStyle name="Обычный 6" xfId="11" xr:uid="{00000000-0005-0000-0000-000062000000}"/>
    <cellStyle name="Обычный 6 2" xfId="114" xr:uid="{00000000-0005-0000-0000-000063000000}"/>
    <cellStyle name="Обычный 6 3" xfId="115" xr:uid="{00000000-0005-0000-0000-000064000000}"/>
    <cellStyle name="Обычный 6 4" xfId="116" xr:uid="{00000000-0005-0000-0000-000065000000}"/>
    <cellStyle name="Обычный 6 4 2" xfId="117" xr:uid="{00000000-0005-0000-0000-000066000000}"/>
    <cellStyle name="Обычный 7" xfId="15" xr:uid="{00000000-0005-0000-0000-000067000000}"/>
    <cellStyle name="Обычный 8" xfId="16" xr:uid="{00000000-0005-0000-0000-000068000000}"/>
    <cellStyle name="Обычный 8 2" xfId="118" xr:uid="{00000000-0005-0000-0000-000069000000}"/>
    <cellStyle name="Обычный 8 3" xfId="119" xr:uid="{00000000-0005-0000-0000-00006A000000}"/>
    <cellStyle name="Обычный 8 4" xfId="120" xr:uid="{00000000-0005-0000-0000-00006B000000}"/>
    <cellStyle name="Обычный 9" xfId="18" xr:uid="{00000000-0005-0000-0000-00006C000000}"/>
    <cellStyle name="Обычный_Приложение 2 (2)" xfId="21" xr:uid="{00000000-0005-0000-0000-00006D000000}"/>
    <cellStyle name="Отдельная ячейка" xfId="121" xr:uid="{00000000-0005-0000-0000-00006E000000}"/>
    <cellStyle name="Отдельная ячейка - константа" xfId="122" xr:uid="{00000000-0005-0000-0000-00006F000000}"/>
    <cellStyle name="Отдельная ячейка - константа [печать]" xfId="123" xr:uid="{00000000-0005-0000-0000-000070000000}"/>
    <cellStyle name="Отдельная ячейка [печать]" xfId="124" xr:uid="{00000000-0005-0000-0000-000071000000}"/>
    <cellStyle name="Отдельная ячейка-результат" xfId="125" xr:uid="{00000000-0005-0000-0000-000072000000}"/>
    <cellStyle name="Отдельная ячейка-результат [печать]" xfId="126" xr:uid="{00000000-0005-0000-0000-000073000000}"/>
    <cellStyle name="Примечание 2" xfId="25" xr:uid="{00000000-0005-0000-0000-000074000000}"/>
    <cellStyle name="Процентный 2" xfId="5" xr:uid="{00000000-0005-0000-0000-000075000000}"/>
    <cellStyle name="Процентный 3" xfId="6" xr:uid="{00000000-0005-0000-0000-000076000000}"/>
    <cellStyle name="Процентный 4" xfId="13" xr:uid="{00000000-0005-0000-0000-000077000000}"/>
    <cellStyle name="Процентный 5" xfId="14" xr:uid="{00000000-0005-0000-0000-000078000000}"/>
    <cellStyle name="Свойства элементов измерения" xfId="127" xr:uid="{00000000-0005-0000-0000-000079000000}"/>
    <cellStyle name="Свойства элементов измерения [печать]" xfId="128" xr:uid="{00000000-0005-0000-0000-00007A000000}"/>
    <cellStyle name="Стиль 1" xfId="26" xr:uid="{00000000-0005-0000-0000-00007B000000}"/>
    <cellStyle name="Стиль 10" xfId="129" xr:uid="{00000000-0005-0000-0000-00007C000000}"/>
    <cellStyle name="Стиль 11" xfId="130" xr:uid="{00000000-0005-0000-0000-00007D000000}"/>
    <cellStyle name="Стиль 12" xfId="131" xr:uid="{00000000-0005-0000-0000-00007E000000}"/>
    <cellStyle name="Стиль 13" xfId="132" xr:uid="{00000000-0005-0000-0000-00007F000000}"/>
    <cellStyle name="Стиль 14" xfId="133" xr:uid="{00000000-0005-0000-0000-000080000000}"/>
    <cellStyle name="Стиль 15" xfId="134" xr:uid="{00000000-0005-0000-0000-000081000000}"/>
    <cellStyle name="Стиль 16" xfId="135" xr:uid="{00000000-0005-0000-0000-000082000000}"/>
    <cellStyle name="Стиль 17" xfId="136" xr:uid="{00000000-0005-0000-0000-000083000000}"/>
    <cellStyle name="Стиль 18" xfId="137" xr:uid="{00000000-0005-0000-0000-000084000000}"/>
    <cellStyle name="Стиль 19" xfId="138" xr:uid="{00000000-0005-0000-0000-000085000000}"/>
    <cellStyle name="Стиль 2" xfId="139" xr:uid="{00000000-0005-0000-0000-000086000000}"/>
    <cellStyle name="Стиль 20" xfId="140" xr:uid="{00000000-0005-0000-0000-000087000000}"/>
    <cellStyle name="Стиль 21" xfId="141" xr:uid="{00000000-0005-0000-0000-000088000000}"/>
    <cellStyle name="Стиль 22" xfId="142" xr:uid="{00000000-0005-0000-0000-000089000000}"/>
    <cellStyle name="Стиль 23" xfId="143" xr:uid="{00000000-0005-0000-0000-00008A000000}"/>
    <cellStyle name="Стиль 24" xfId="144" xr:uid="{00000000-0005-0000-0000-00008B000000}"/>
    <cellStyle name="Стиль 25" xfId="145" xr:uid="{00000000-0005-0000-0000-00008C000000}"/>
    <cellStyle name="Стиль 26" xfId="146" xr:uid="{00000000-0005-0000-0000-00008D000000}"/>
    <cellStyle name="Стиль 27" xfId="147" xr:uid="{00000000-0005-0000-0000-00008E000000}"/>
    <cellStyle name="Стиль 28" xfId="148" xr:uid="{00000000-0005-0000-0000-00008F000000}"/>
    <cellStyle name="Стиль 29" xfId="149" xr:uid="{00000000-0005-0000-0000-000090000000}"/>
    <cellStyle name="Стиль 3" xfId="150" xr:uid="{00000000-0005-0000-0000-000091000000}"/>
    <cellStyle name="Стиль 30" xfId="151" xr:uid="{00000000-0005-0000-0000-000092000000}"/>
    <cellStyle name="Стиль 31" xfId="152" xr:uid="{00000000-0005-0000-0000-000093000000}"/>
    <cellStyle name="Стиль 32" xfId="153" xr:uid="{00000000-0005-0000-0000-000094000000}"/>
    <cellStyle name="Стиль 33" xfId="154" xr:uid="{00000000-0005-0000-0000-000095000000}"/>
    <cellStyle name="Стиль 34" xfId="155" xr:uid="{00000000-0005-0000-0000-000096000000}"/>
    <cellStyle name="Стиль 35" xfId="156" xr:uid="{00000000-0005-0000-0000-000097000000}"/>
    <cellStyle name="Стиль 36" xfId="157" xr:uid="{00000000-0005-0000-0000-000098000000}"/>
    <cellStyle name="Стиль 37" xfId="158" xr:uid="{00000000-0005-0000-0000-000099000000}"/>
    <cellStyle name="Стиль 38" xfId="159" xr:uid="{00000000-0005-0000-0000-00009A000000}"/>
    <cellStyle name="Стиль 39" xfId="160" xr:uid="{00000000-0005-0000-0000-00009B000000}"/>
    <cellStyle name="Стиль 4" xfId="161" xr:uid="{00000000-0005-0000-0000-00009C000000}"/>
    <cellStyle name="Стиль 40" xfId="162" xr:uid="{00000000-0005-0000-0000-00009D000000}"/>
    <cellStyle name="Стиль 41" xfId="163" xr:uid="{00000000-0005-0000-0000-00009E000000}"/>
    <cellStyle name="Стиль 42" xfId="164" xr:uid="{00000000-0005-0000-0000-00009F000000}"/>
    <cellStyle name="Стиль 43" xfId="165" xr:uid="{00000000-0005-0000-0000-0000A0000000}"/>
    <cellStyle name="Стиль 44" xfId="166" xr:uid="{00000000-0005-0000-0000-0000A1000000}"/>
    <cellStyle name="Стиль 45" xfId="167" xr:uid="{00000000-0005-0000-0000-0000A2000000}"/>
    <cellStyle name="Стиль 46" xfId="168" xr:uid="{00000000-0005-0000-0000-0000A3000000}"/>
    <cellStyle name="Стиль 47" xfId="169" xr:uid="{00000000-0005-0000-0000-0000A4000000}"/>
    <cellStyle name="Стиль 48" xfId="170" xr:uid="{00000000-0005-0000-0000-0000A5000000}"/>
    <cellStyle name="Стиль 49" xfId="171" xr:uid="{00000000-0005-0000-0000-0000A6000000}"/>
    <cellStyle name="Стиль 5" xfId="172" xr:uid="{00000000-0005-0000-0000-0000A7000000}"/>
    <cellStyle name="Стиль 50" xfId="173" xr:uid="{00000000-0005-0000-0000-0000A8000000}"/>
    <cellStyle name="Стиль 51" xfId="174" xr:uid="{00000000-0005-0000-0000-0000A9000000}"/>
    <cellStyle name="Стиль 52" xfId="175" xr:uid="{00000000-0005-0000-0000-0000AA000000}"/>
    <cellStyle name="Стиль 53" xfId="176" xr:uid="{00000000-0005-0000-0000-0000AB000000}"/>
    <cellStyle name="Стиль 6" xfId="177" xr:uid="{00000000-0005-0000-0000-0000AC000000}"/>
    <cellStyle name="Стиль 7" xfId="178" xr:uid="{00000000-0005-0000-0000-0000AD000000}"/>
    <cellStyle name="Стиль 8" xfId="179" xr:uid="{00000000-0005-0000-0000-0000AE000000}"/>
    <cellStyle name="Стиль 9" xfId="180" xr:uid="{00000000-0005-0000-0000-0000AF000000}"/>
    <cellStyle name="Финансовый" xfId="2" builtinId="3"/>
    <cellStyle name="Финансовый 2" xfId="4" xr:uid="{00000000-0005-0000-0000-0000B1000000}"/>
    <cellStyle name="Финансовый 2 2" xfId="20" xr:uid="{00000000-0005-0000-0000-0000B2000000}"/>
    <cellStyle name="Финансовый 3" xfId="8" xr:uid="{00000000-0005-0000-0000-0000B3000000}"/>
    <cellStyle name="Финансовый 4" xfId="12" xr:uid="{00000000-0005-0000-0000-0000B4000000}"/>
    <cellStyle name="Финансовый 5" xfId="28" xr:uid="{00000000-0005-0000-0000-0000B5000000}"/>
    <cellStyle name="Финансовый 6" xfId="191" xr:uid="{00000000-0005-0000-0000-0000B6000000}"/>
    <cellStyle name="Элементы осей" xfId="181" xr:uid="{00000000-0005-0000-0000-0000B7000000}"/>
    <cellStyle name="Элементы осей [печать]" xfId="182" xr:uid="{00000000-0005-0000-0000-0000B8000000}"/>
    <cellStyle name="Элементы осей 2" xfId="183" xr:uid="{00000000-0005-0000-0000-0000B9000000}"/>
    <cellStyle name="Элементы осей 3" xfId="184" xr:uid="{00000000-0005-0000-0000-0000BA000000}"/>
    <cellStyle name="Элементы осей 4" xfId="185" xr:uid="{00000000-0005-0000-0000-0000BB000000}"/>
    <cellStyle name="Элементы осей 5" xfId="186" xr:uid="{00000000-0005-0000-0000-0000BC000000}"/>
    <cellStyle name="Элементы осей 6" xfId="187" xr:uid="{00000000-0005-0000-0000-0000BD000000}"/>
    <cellStyle name="Элементы осей 7" xfId="188" xr:uid="{00000000-0005-0000-0000-0000BE000000}"/>
    <cellStyle name="Элементы осей_к прогнозу" xfId="189" xr:uid="{00000000-0005-0000-0000-0000B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externalLink" Target="externalLinks/externalLink17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externalLink" Target="externalLinks/externalLink16.xml"/><Relationship Id="rId38" Type="http://schemas.openxmlformats.org/officeDocument/2006/relationships/externalLink" Target="externalLinks/externalLink2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externalLink" Target="externalLinks/externalLink15.xml"/><Relationship Id="rId37" Type="http://schemas.openxmlformats.org/officeDocument/2006/relationships/externalLink" Target="externalLinks/externalLink20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36" Type="http://schemas.openxmlformats.org/officeDocument/2006/relationships/externalLink" Target="externalLinks/externalLink19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externalLink" Target="externalLinks/externalLink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357601</xdr:rowOff>
    </xdr:to>
    <xdr:sp macro="" textlink="">
      <xdr:nvSpPr>
        <xdr:cNvPr id="2" name="AutoShape 7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107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357601</xdr:rowOff>
    </xdr:to>
    <xdr:sp macro="" textlink="">
      <xdr:nvSpPr>
        <xdr:cNvPr id="3" name="AutoShape 10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107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4" name="AutoShape 7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6" name="AutoShape 7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9" name="AutoShape 7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0" name="AutoShape 7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1" name="AutoShape 7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2" name="AutoShape 7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3" name="AutoShape 7">
          <a:extLst>
            <a:ext uri="{FF2B5EF4-FFF2-40B4-BE49-F238E27FC236}">
              <a16:creationId xmlns:a16="http://schemas.microsoft.com/office/drawing/2014/main" id="{00000000-0008-0000-06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4" name="AutoShape 7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5" name="AutoShape 7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6" name="AutoShape 7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7" name="AutoShape 7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8" name="AutoShape 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519526</xdr:rowOff>
    </xdr:to>
    <xdr:sp macro="" textlink="">
      <xdr:nvSpPr>
        <xdr:cNvPr id="19" name="AutoShape 13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1240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0" name="AutoShape 7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1" name="AutoShape 7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2" name="AutoShape 7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3" name="AutoShape 7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4" name="AutoShape 7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5" name="AutoShape 7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792480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6" name="AutoShape 7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792480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7" name="AutoShape 7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792480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304800"/>
    <xdr:sp macro="" textlink="">
      <xdr:nvSpPr>
        <xdr:cNvPr id="28" name="AutoShape 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9210675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9" name="AutoShape 7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0" name="AutoShape 7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1" name="AutoShape 7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2" name="AutoShape 7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3" name="AutoShape 7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4" name="AutoShape 7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5" name="AutoShape 7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6" name="AutoShape 7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brp\&#1043;&#1059;&#1060;&#1050;\GUF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00-00-685/Documents/&#1041;&#1054;&#1056;&#1054;&#1042;&#1057;&#1050;&#1040;&#1071;/!!%20&#1048;&#1085;&#1092;&#1086;&#1088;&#1084;&#1072;&#1094;&#1080;&#1080;%20&#1074;%20&#1060;&#1053;&#1057;_&#1088;&#1077;&#1075;&#1091;&#1083;&#1103;&#1088;&#1085;&#1099;&#1077;/&#1048;&#1075;&#1086;&#1088;&#1085;&#1099;&#1081;%20&#1073;&#1080;&#1079;&#1085;&#1077;&#1089;/8%20&#1088;&#1072;&#1079;&#1076;&#1077;&#1083;%20&#1054;&#1090;&#1095;&#1077;&#1090;&#1072;%201-&#1054;&#1044;&#1041;&#1057;_03.04.2025/&#1048;&#1058;&#1054;&#1043;%20&#1074;%20&#1060;&#1053;&#1057;/1-&#1054;&#1044;&#1041;&#1057;.%20&#1056;&#1072;&#1079;&#1076;&#1077;&#1083;%208_03.04.2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00-0~1.REG/AppData/Local/Temp/notesF74F92/1-&#1060;&#1041;%20&#1056;&#1072;&#1079;&#1076;&#1077;&#1083;%20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Огл. Графиков"/>
      <sheetName val="рабочий"/>
      <sheetName val="Текущие цены"/>
      <sheetName val="окраска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  <sheetName val="Лист2"/>
      <sheetName val="Реестр_Договоров"/>
      <sheetName val="База"/>
      <sheetName val="Огл. Графиков"/>
      <sheetName val="производство"/>
      <sheetName val="Цены СНГ"/>
      <sheetName val="ППП"/>
      <sheetName val="БДДС РКХП"/>
      <sheetName val="ЛОМ_УКР"/>
      <sheetName val="Чугун_Украина"/>
      <sheetName val="3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расчет тарифов"/>
      <sheetName val="Список_Юж"/>
      <sheetName val="курс"/>
      <sheetName val="МС"/>
      <sheetName val="отрасл.инд"/>
      <sheetName val="НДС"/>
      <sheetName val="базовые допущения"/>
      <sheetName val="Добыча нефти4"/>
      <sheetName val="поставка сравн13"/>
      <sheetName val="эл ст"/>
      <sheetName val="Приход"/>
      <sheetName val="Расход"/>
      <sheetName val="АНАЛИТ"/>
      <sheetName val="план ФР"/>
      <sheetName val="т-сети"/>
      <sheetName val="Списки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ИТ-бюджет"/>
      <sheetName val="Source"/>
      <sheetName val="t_Настройки"/>
      <sheetName val="МВЗ"/>
      <sheetName val="Вариант1"/>
      <sheetName val="Лист13"/>
      <sheetName val="Balance"/>
      <sheetName val="Предприятие"/>
      <sheetName val="Индекс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  <sheetName val="Огл. Графиков"/>
      <sheetName val="рабочий"/>
      <sheetName val="Текущие цены"/>
      <sheetName val="окраска"/>
      <sheetName val="vec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Данные"/>
      <sheetName val="2002(v1)"/>
      <sheetName val="Параметр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  <sheetName val=""/>
      <sheetName val="Проект"/>
      <sheetName val="12июля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  <sheetName val="вводные данные систем"/>
      <sheetName val="ПРОГНОЗ_1"/>
      <sheetName val=""/>
      <sheetName val="БД"/>
      <sheetName val="платежный календарь фин"/>
      <sheetName val="0_Настройка"/>
      <sheetName val="0_Настройка1"/>
      <sheetName val="выр__июль"/>
      <sheetName val="2009(2,3)_(2)1"/>
      <sheetName val="GKN_(2)1"/>
      <sheetName val="0_Настройка2"/>
      <sheetName val="2009(2,3)_(2)2"/>
      <sheetName val="GKN_(2)2"/>
      <sheetName val="0_Настройка3"/>
      <sheetName val="2009(2,3)_(2)3"/>
      <sheetName val="GKN_(2)3"/>
      <sheetName val="0_Настройка4"/>
      <sheetName val="2009(2,3)_(2)4"/>
      <sheetName val="GKN_(2)4"/>
      <sheetName val="0_Настройка5"/>
      <sheetName val="2009(2,3)_(2)5"/>
      <sheetName val="GKN_(2)5"/>
      <sheetName val="0_Настройка6"/>
      <sheetName val="2009(2,3)_(2)6"/>
      <sheetName val="GKN_(2)6"/>
      <sheetName val="0_Настройка7"/>
      <sheetName val="2009(2,3)_(2)7"/>
      <sheetName val="GKN_(2)7"/>
      <sheetName val="0_Настройка8"/>
      <sheetName val="2009(2,3)_(2)10"/>
      <sheetName val="GKN_(2)10"/>
      <sheetName val="0_Настройка11"/>
      <sheetName val="2009(2,3)_(2)8"/>
      <sheetName val="GKN_(2)8"/>
      <sheetName val="0_Настройка9"/>
      <sheetName val="2009(2,3)_(2)9"/>
      <sheetName val="GKN_(2)9"/>
      <sheetName val="0_Настройка10"/>
      <sheetName val="2009(2,3)_(2)12"/>
      <sheetName val="GKN_(2)12"/>
      <sheetName val="0_Настройка13"/>
      <sheetName val="2009(2,3)_(2)11"/>
      <sheetName val="GKN_(2)11"/>
      <sheetName val="0_Настройка12"/>
      <sheetName val="2009(2,3)_(2)15"/>
      <sheetName val="GKN_(2)15"/>
      <sheetName val="0_Настройка16"/>
      <sheetName val="2009(2,3)_(2)13"/>
      <sheetName val="GKN_(2)13"/>
      <sheetName val="0_Настройка14"/>
      <sheetName val="2009(2,3)_(2)14"/>
      <sheetName val="GKN_(2)14"/>
      <sheetName val="0_Настройка15"/>
      <sheetName val="АНАЛИТ"/>
      <sheetName val="Настройка"/>
      <sheetName val="поставка сравн13"/>
      <sheetName val="titre gap"/>
      <sheetName val="#ССЫЛКА"/>
      <sheetName val="Лист5"/>
      <sheetName val="Бюджет"/>
      <sheetName val="Предпр_-взвеш__оценка"/>
      <sheetName val="Оценка_DCF1"/>
      <sheetName val="Предпр_-взвеш__оценка1"/>
      <sheetName val="план"/>
      <sheetName val="Расх."/>
      <sheetName val="Параметры"/>
      <sheetName val="1"/>
      <sheetName val="ВГ 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  <sheetName val="1999-veca"/>
      <sheetName val="Заголовок"/>
      <sheetName val="Приложение 3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  <sheetName val="Огл. Графиков"/>
      <sheetName val="рабочий"/>
      <sheetName val="Текущие цены"/>
      <sheetName val="окраска"/>
      <sheetName val="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  <sheetName val="Проект"/>
      <sheetName val="12июля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  <sheetName val="1.10.96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</sheetNames>
    <sheetDataSet>
      <sheetData sheetId="0">
        <row r="1">
          <cell r="B1" t="str">
            <v>Апрель</v>
          </cell>
        </row>
        <row r="2">
          <cell r="B2" t="str">
            <v>2025</v>
          </cell>
        </row>
      </sheetData>
      <sheetData sheetId="1"/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</sheetNames>
    <sheetDataSet>
      <sheetData sheetId="0">
        <row r="1">
          <cell r="B1" t="str">
            <v>Апрель</v>
          </cell>
        </row>
        <row r="2">
          <cell r="B2" t="str">
            <v>2024</v>
          </cell>
        </row>
      </sheetData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  <sheetName val="Огл. Графиков"/>
      <sheetName val="рабочий"/>
      <sheetName val="окраска"/>
      <sheetName val="Фед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  <sheetName val="Лист2"/>
      <sheetName val="Реестр_Договоров"/>
      <sheetName val="База"/>
      <sheetName val="Огл. Графиков"/>
      <sheetName val="производство"/>
      <sheetName val="Цены СНГ"/>
      <sheetName val="ППП"/>
      <sheetName val="БДДС РКХП"/>
      <sheetName val="ЛОМ_УКР"/>
      <sheetName val="Чугун_Украина"/>
      <sheetName val="3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расчет тарифов"/>
      <sheetName val="Список_Юж"/>
      <sheetName val="курс"/>
      <sheetName val="МС"/>
      <sheetName val="отрасл.инд"/>
      <sheetName val="НДС"/>
      <sheetName val="базовые допущения"/>
      <sheetName val="Добыча нефти4"/>
      <sheetName val="поставка сравн13"/>
      <sheetName val="эл ст"/>
      <sheetName val="Приход"/>
      <sheetName val="Расход"/>
      <sheetName val="АНАЛИТ"/>
      <sheetName val="план ФР"/>
      <sheetName val="т-сети"/>
      <sheetName val="Списки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ИТ-бюджет"/>
      <sheetName val="Source"/>
      <sheetName val="t_Настройки"/>
      <sheetName val="МВЗ"/>
      <sheetName val="Вариант1"/>
      <sheetName val="Лист13"/>
      <sheetName val="Balance"/>
      <sheetName val="Предприятие"/>
      <sheetName val="Индекс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view="pageBreakPreview" zoomScaleNormal="100" zoomScaleSheetLayoutView="100" workbookViewId="0">
      <selection activeCell="C2" sqref="C2"/>
    </sheetView>
  </sheetViews>
  <sheetFormatPr defaultRowHeight="39.950000000000003" customHeight="1"/>
  <cols>
    <col min="1" max="1" width="49.28515625" customWidth="1"/>
    <col min="2" max="2" width="18.28515625" customWidth="1"/>
    <col min="3" max="3" width="18.85546875" customWidth="1"/>
    <col min="4" max="4" width="13.5703125" customWidth="1"/>
    <col min="5" max="5" width="11.85546875" customWidth="1"/>
    <col min="6" max="6" width="14.42578125" customWidth="1"/>
    <col min="7" max="7" width="13.42578125" customWidth="1"/>
    <col min="8" max="8" width="10.85546875" customWidth="1"/>
    <col min="9" max="9" width="15.5703125" customWidth="1"/>
    <col min="10" max="10" width="11.140625" customWidth="1"/>
  </cols>
  <sheetData>
    <row r="1" spans="1:10" ht="39.950000000000003" customHeight="1">
      <c r="A1" s="357" t="s">
        <v>34</v>
      </c>
      <c r="B1" s="357"/>
      <c r="C1" s="357"/>
      <c r="D1" s="357"/>
      <c r="E1" s="357"/>
      <c r="F1" s="357"/>
      <c r="G1" s="357"/>
      <c r="H1" s="357"/>
    </row>
    <row r="2" spans="1:10" ht="39.950000000000003" customHeight="1" thickBot="1">
      <c r="J2" s="3" t="s">
        <v>18</v>
      </c>
    </row>
    <row r="3" spans="1:10" ht="39.950000000000003" customHeight="1">
      <c r="A3" s="358" t="s">
        <v>0</v>
      </c>
      <c r="B3" s="361" t="s">
        <v>21</v>
      </c>
      <c r="C3" s="364" t="s">
        <v>23</v>
      </c>
      <c r="D3" s="351" t="s">
        <v>38</v>
      </c>
      <c r="E3" s="370"/>
      <c r="F3" s="367" t="s">
        <v>22</v>
      </c>
      <c r="G3" s="351" t="s">
        <v>39</v>
      </c>
      <c r="H3" s="370"/>
      <c r="I3" s="351" t="s">
        <v>40</v>
      </c>
      <c r="J3" s="352"/>
    </row>
    <row r="4" spans="1:10" ht="39.950000000000003" customHeight="1">
      <c r="A4" s="359"/>
      <c r="B4" s="362"/>
      <c r="C4" s="365"/>
      <c r="D4" s="353"/>
      <c r="E4" s="371"/>
      <c r="F4" s="368"/>
      <c r="G4" s="353"/>
      <c r="H4" s="371"/>
      <c r="I4" s="353"/>
      <c r="J4" s="354"/>
    </row>
    <row r="5" spans="1:10" ht="27" customHeight="1">
      <c r="A5" s="359"/>
      <c r="B5" s="362"/>
      <c r="C5" s="365"/>
      <c r="D5" s="355" t="s">
        <v>31</v>
      </c>
      <c r="E5" s="355" t="s">
        <v>35</v>
      </c>
      <c r="F5" s="368"/>
      <c r="G5" s="355" t="s">
        <v>32</v>
      </c>
      <c r="H5" s="355" t="s">
        <v>36</v>
      </c>
      <c r="I5" s="355" t="s">
        <v>33</v>
      </c>
      <c r="J5" s="355" t="s">
        <v>37</v>
      </c>
    </row>
    <row r="6" spans="1:10" ht="9" hidden="1" customHeight="1">
      <c r="A6" s="360"/>
      <c r="B6" s="363"/>
      <c r="C6" s="366"/>
      <c r="D6" s="356"/>
      <c r="E6" s="356"/>
      <c r="F6" s="369"/>
      <c r="G6" s="356"/>
      <c r="H6" s="356"/>
      <c r="I6" s="356"/>
      <c r="J6" s="356"/>
    </row>
    <row r="7" spans="1:10" ht="16.5" customHeight="1">
      <c r="A7" s="15">
        <v>1</v>
      </c>
      <c r="B7" s="2">
        <v>2</v>
      </c>
      <c r="C7" s="2">
        <v>3</v>
      </c>
      <c r="D7" s="4">
        <v>4</v>
      </c>
      <c r="E7" s="4">
        <v>5</v>
      </c>
      <c r="F7" s="1">
        <v>6</v>
      </c>
      <c r="G7" s="4">
        <v>7</v>
      </c>
      <c r="H7" s="4">
        <v>8</v>
      </c>
      <c r="I7" s="4">
        <v>9</v>
      </c>
      <c r="J7" s="16">
        <v>10</v>
      </c>
    </row>
    <row r="8" spans="1:10" ht="46.5" customHeight="1" thickBot="1">
      <c r="A8" s="18" t="s">
        <v>24</v>
      </c>
      <c r="B8" s="20">
        <v>103168530</v>
      </c>
      <c r="C8" s="20">
        <v>104582768</v>
      </c>
      <c r="D8" s="23">
        <f>C8-B8</f>
        <v>1414238</v>
      </c>
      <c r="E8" s="32">
        <f>C8/B8*100</f>
        <v>101.37080367433751</v>
      </c>
      <c r="F8" s="22">
        <v>94635081</v>
      </c>
      <c r="G8" s="23">
        <f>F8-C8</f>
        <v>-9947687</v>
      </c>
      <c r="H8" s="21">
        <f>F8/C8*100</f>
        <v>90.488215993671162</v>
      </c>
      <c r="I8" s="22">
        <f>F8-B8</f>
        <v>-8533449</v>
      </c>
      <c r="J8" s="24">
        <f>F8/B8*100</f>
        <v>91.728631783354871</v>
      </c>
    </row>
    <row r="9" spans="1:10" ht="13.5" customHeight="1">
      <c r="A9" s="17" t="s">
        <v>26</v>
      </c>
      <c r="B9" s="40"/>
      <c r="C9" s="40"/>
      <c r="D9" s="26"/>
      <c r="E9" s="25"/>
      <c r="F9" s="41"/>
      <c r="G9" s="26"/>
      <c r="H9" s="25"/>
      <c r="I9" s="27"/>
      <c r="J9" s="28"/>
    </row>
    <row r="10" spans="1:10" ht="33" customHeight="1">
      <c r="A10" s="11" t="s">
        <v>1</v>
      </c>
      <c r="B10" s="42">
        <v>22681600</v>
      </c>
      <c r="C10" s="42">
        <v>24256231</v>
      </c>
      <c r="D10" s="43">
        <f t="shared" ref="D10:D35" si="0">C10-B10</f>
        <v>1574631</v>
      </c>
      <c r="E10" s="29">
        <f t="shared" ref="E10:E35" si="1">C10/B10*100</f>
        <v>106.94232770174943</v>
      </c>
      <c r="F10" s="44">
        <v>21334800</v>
      </c>
      <c r="G10" s="30">
        <f t="shared" ref="G10:G35" si="2">F10-C10</f>
        <v>-2921431</v>
      </c>
      <c r="H10" s="29">
        <f t="shared" ref="H10:H35" si="3">F10/C10*100</f>
        <v>87.955956554008736</v>
      </c>
      <c r="I10" s="30">
        <f t="shared" ref="I10:I35" si="4">F10-B10</f>
        <v>-1346800</v>
      </c>
      <c r="J10" s="31">
        <f t="shared" ref="J10:J35" si="5">F10/B10*100</f>
        <v>94.062147291196382</v>
      </c>
    </row>
    <row r="11" spans="1:10" ht="32.25" customHeight="1" thickBot="1">
      <c r="A11" s="12" t="s">
        <v>2</v>
      </c>
      <c r="B11" s="45">
        <v>45472000</v>
      </c>
      <c r="C11" s="45">
        <v>45299064</v>
      </c>
      <c r="D11" s="34">
        <f t="shared" si="0"/>
        <v>-172936</v>
      </c>
      <c r="E11" s="32">
        <f t="shared" si="1"/>
        <v>99.619686840253337</v>
      </c>
      <c r="F11" s="46">
        <v>43497100</v>
      </c>
      <c r="G11" s="34">
        <f t="shared" si="2"/>
        <v>-1801964</v>
      </c>
      <c r="H11" s="32">
        <f t="shared" si="3"/>
        <v>96.02207233244377</v>
      </c>
      <c r="I11" s="33">
        <f t="shared" si="4"/>
        <v>-1974900</v>
      </c>
      <c r="J11" s="35">
        <f t="shared" si="5"/>
        <v>95.656887755102034</v>
      </c>
    </row>
    <row r="12" spans="1:10" ht="54" customHeight="1">
      <c r="A12" s="13" t="s">
        <v>25</v>
      </c>
      <c r="B12" s="47">
        <v>12045300</v>
      </c>
      <c r="C12" s="47">
        <v>10961220</v>
      </c>
      <c r="D12" s="26">
        <f t="shared" si="0"/>
        <v>-1084080</v>
      </c>
      <c r="E12" s="25">
        <f t="shared" si="1"/>
        <v>90.999975094020073</v>
      </c>
      <c r="F12" s="48">
        <v>7887331</v>
      </c>
      <c r="G12" s="26">
        <f t="shared" si="2"/>
        <v>-3073889</v>
      </c>
      <c r="H12" s="25">
        <f t="shared" si="3"/>
        <v>71.956689127670089</v>
      </c>
      <c r="I12" s="27">
        <f t="shared" si="4"/>
        <v>-4157969</v>
      </c>
      <c r="J12" s="28">
        <f t="shared" si="5"/>
        <v>65.480569184661235</v>
      </c>
    </row>
    <row r="13" spans="1:10" ht="13.5" customHeight="1">
      <c r="A13" s="14" t="s">
        <v>26</v>
      </c>
      <c r="B13" s="42"/>
      <c r="C13" s="42"/>
      <c r="D13" s="49"/>
      <c r="E13" s="37"/>
      <c r="F13" s="44"/>
      <c r="G13" s="30"/>
      <c r="H13" s="29"/>
      <c r="I13" s="30"/>
      <c r="J13" s="31"/>
    </row>
    <row r="14" spans="1:10" ht="48.75" customHeight="1">
      <c r="A14" s="10" t="s">
        <v>3</v>
      </c>
      <c r="B14" s="42">
        <v>3196000</v>
      </c>
      <c r="C14" s="42">
        <v>2375030</v>
      </c>
      <c r="D14" s="43">
        <f t="shared" si="0"/>
        <v>-820970</v>
      </c>
      <c r="E14" s="29">
        <f t="shared" si="1"/>
        <v>74.31257822277847</v>
      </c>
      <c r="F14" s="44">
        <v>2221000</v>
      </c>
      <c r="G14" s="26">
        <f t="shared" si="2"/>
        <v>-154030</v>
      </c>
      <c r="H14" s="25">
        <f t="shared" si="3"/>
        <v>93.514608236527536</v>
      </c>
      <c r="I14" s="27">
        <f t="shared" si="4"/>
        <v>-975000</v>
      </c>
      <c r="J14" s="38">
        <f t="shared" si="5"/>
        <v>69.493116395494368</v>
      </c>
    </row>
    <row r="15" spans="1:10" ht="39" customHeight="1">
      <c r="A15" s="10" t="s">
        <v>20</v>
      </c>
      <c r="B15" s="42">
        <v>21300</v>
      </c>
      <c r="C15" s="42">
        <v>67200</v>
      </c>
      <c r="D15" s="50">
        <f t="shared" si="0"/>
        <v>45900</v>
      </c>
      <c r="E15" s="51">
        <f t="shared" si="1"/>
        <v>315.49295774647885</v>
      </c>
      <c r="F15" s="44">
        <v>25200</v>
      </c>
      <c r="G15" s="30">
        <f t="shared" si="2"/>
        <v>-42000</v>
      </c>
      <c r="H15" s="29">
        <f t="shared" si="3"/>
        <v>37.5</v>
      </c>
      <c r="I15" s="30">
        <f t="shared" si="4"/>
        <v>3900</v>
      </c>
      <c r="J15" s="31">
        <f t="shared" si="5"/>
        <v>118.30985915492957</v>
      </c>
    </row>
    <row r="16" spans="1:10" ht="37.5" customHeight="1" thickBot="1">
      <c r="A16" s="19" t="s">
        <v>4</v>
      </c>
      <c r="B16" s="45">
        <v>8828000</v>
      </c>
      <c r="C16" s="45">
        <v>8519220</v>
      </c>
      <c r="D16" s="52">
        <f t="shared" si="0"/>
        <v>-308780</v>
      </c>
      <c r="E16" s="39">
        <f t="shared" si="1"/>
        <v>96.50226551880381</v>
      </c>
      <c r="F16" s="53">
        <v>5639000</v>
      </c>
      <c r="G16" s="34">
        <f t="shared" si="2"/>
        <v>-2880220</v>
      </c>
      <c r="H16" s="32">
        <f t="shared" si="3"/>
        <v>66.191505795131476</v>
      </c>
      <c r="I16" s="33">
        <f t="shared" si="4"/>
        <v>-3189000</v>
      </c>
      <c r="J16" s="35">
        <f t="shared" si="5"/>
        <v>63.876302673312189</v>
      </c>
    </row>
    <row r="17" spans="1:10" ht="36" customHeight="1">
      <c r="A17" s="5" t="s">
        <v>5</v>
      </c>
      <c r="B17" s="40">
        <v>263000</v>
      </c>
      <c r="C17" s="40">
        <v>288911</v>
      </c>
      <c r="D17" s="54">
        <f t="shared" si="0"/>
        <v>25911</v>
      </c>
      <c r="E17" s="25">
        <f t="shared" si="1"/>
        <v>109.85209125475286</v>
      </c>
      <c r="F17" s="55">
        <v>278200</v>
      </c>
      <c r="G17" s="26">
        <f t="shared" si="2"/>
        <v>-10711</v>
      </c>
      <c r="H17" s="25">
        <f t="shared" si="3"/>
        <v>96.292629910249175</v>
      </c>
      <c r="I17" s="27">
        <f t="shared" si="4"/>
        <v>15200</v>
      </c>
      <c r="J17" s="28">
        <f t="shared" si="5"/>
        <v>105.77946768060838</v>
      </c>
    </row>
    <row r="18" spans="1:10" ht="36" customHeight="1">
      <c r="A18" s="6" t="s">
        <v>6</v>
      </c>
      <c r="B18" s="42">
        <v>2300</v>
      </c>
      <c r="C18" s="42">
        <v>1881</v>
      </c>
      <c r="D18" s="43">
        <f t="shared" si="0"/>
        <v>-419</v>
      </c>
      <c r="E18" s="29">
        <f t="shared" si="1"/>
        <v>81.782608695652172</v>
      </c>
      <c r="F18" s="44">
        <v>2700</v>
      </c>
      <c r="G18" s="30">
        <f t="shared" si="2"/>
        <v>819</v>
      </c>
      <c r="H18" s="29">
        <f t="shared" si="3"/>
        <v>143.54066985645932</v>
      </c>
      <c r="I18" s="30">
        <f t="shared" si="4"/>
        <v>400</v>
      </c>
      <c r="J18" s="31">
        <f t="shared" si="5"/>
        <v>117.39130434782609</v>
      </c>
    </row>
    <row r="19" spans="1:10" ht="42.75" customHeight="1">
      <c r="A19" s="6" t="s">
        <v>7</v>
      </c>
      <c r="B19" s="42">
        <v>430</v>
      </c>
      <c r="C19" s="42">
        <v>427</v>
      </c>
      <c r="D19" s="43">
        <f t="shared" si="0"/>
        <v>-3</v>
      </c>
      <c r="E19" s="29">
        <f t="shared" si="1"/>
        <v>99.302325581395351</v>
      </c>
      <c r="F19" s="44">
        <v>470</v>
      </c>
      <c r="G19" s="30">
        <f t="shared" si="2"/>
        <v>43</v>
      </c>
      <c r="H19" s="29">
        <f t="shared" si="3"/>
        <v>110.0702576112412</v>
      </c>
      <c r="I19" s="30">
        <f t="shared" si="4"/>
        <v>40</v>
      </c>
      <c r="J19" s="31">
        <f t="shared" si="5"/>
        <v>109.30232558139534</v>
      </c>
    </row>
    <row r="20" spans="1:10" ht="33.75" customHeight="1" thickBot="1">
      <c r="A20" s="7" t="s">
        <v>8</v>
      </c>
      <c r="B20" s="36">
        <v>226000</v>
      </c>
      <c r="C20" s="36">
        <v>236791</v>
      </c>
      <c r="D20" s="52">
        <f t="shared" si="0"/>
        <v>10791</v>
      </c>
      <c r="E20" s="39">
        <f t="shared" si="1"/>
        <v>104.77477876106194</v>
      </c>
      <c r="F20" s="56">
        <v>271300</v>
      </c>
      <c r="G20" s="34">
        <f t="shared" si="2"/>
        <v>34509</v>
      </c>
      <c r="H20" s="32">
        <f t="shared" si="3"/>
        <v>114.57361132813324</v>
      </c>
      <c r="I20" s="33">
        <f t="shared" si="4"/>
        <v>45300</v>
      </c>
      <c r="J20" s="35">
        <f t="shared" si="5"/>
        <v>120.04424778761063</v>
      </c>
    </row>
    <row r="21" spans="1:10" ht="25.5" customHeight="1">
      <c r="A21" s="8" t="s">
        <v>28</v>
      </c>
      <c r="B21" s="47">
        <f>B23+B27+B28+B29</f>
        <v>15468000</v>
      </c>
      <c r="C21" s="47">
        <f>C23+C27+C28+C29</f>
        <v>16701786</v>
      </c>
      <c r="D21" s="26">
        <f t="shared" si="0"/>
        <v>1233786</v>
      </c>
      <c r="E21" s="25">
        <f t="shared" si="1"/>
        <v>107.97637703646237</v>
      </c>
      <c r="F21" s="48">
        <f>F23+F27+F28+F29</f>
        <v>14635600</v>
      </c>
      <c r="G21" s="26">
        <f t="shared" si="2"/>
        <v>-2066186</v>
      </c>
      <c r="H21" s="25">
        <f t="shared" si="3"/>
        <v>87.628951777971537</v>
      </c>
      <c r="I21" s="27">
        <f t="shared" si="4"/>
        <v>-832400</v>
      </c>
      <c r="J21" s="28">
        <f t="shared" si="5"/>
        <v>94.618567364882338</v>
      </c>
    </row>
    <row r="22" spans="1:10" ht="13.5" customHeight="1">
      <c r="A22" s="9" t="s">
        <v>26</v>
      </c>
      <c r="B22" s="42"/>
      <c r="C22" s="42"/>
      <c r="D22" s="30"/>
      <c r="E22" s="29"/>
      <c r="F22" s="44"/>
      <c r="G22" s="30"/>
      <c r="H22" s="29"/>
      <c r="I22" s="30"/>
      <c r="J22" s="31"/>
    </row>
    <row r="23" spans="1:10" ht="30.75" customHeight="1">
      <c r="A23" s="11" t="s">
        <v>9</v>
      </c>
      <c r="B23" s="42">
        <v>1537500</v>
      </c>
      <c r="C23" s="42">
        <v>1675947</v>
      </c>
      <c r="D23" s="26">
        <f t="shared" si="0"/>
        <v>138447</v>
      </c>
      <c r="E23" s="25">
        <f t="shared" si="1"/>
        <v>109.00468292682928</v>
      </c>
      <c r="F23" s="57">
        <v>1521400</v>
      </c>
      <c r="G23" s="26">
        <f t="shared" si="2"/>
        <v>-154547</v>
      </c>
      <c r="H23" s="25">
        <f t="shared" si="3"/>
        <v>90.778527005925596</v>
      </c>
      <c r="I23" s="27">
        <f t="shared" si="4"/>
        <v>-16100</v>
      </c>
      <c r="J23" s="38">
        <f t="shared" si="5"/>
        <v>98.952845528455285</v>
      </c>
    </row>
    <row r="24" spans="1:10" ht="13.5" customHeight="1">
      <c r="A24" s="9" t="s">
        <v>27</v>
      </c>
      <c r="B24" s="42"/>
      <c r="C24" s="42"/>
      <c r="D24" s="30"/>
      <c r="E24" s="29"/>
      <c r="F24" s="44"/>
      <c r="G24" s="30"/>
      <c r="H24" s="29"/>
      <c r="I24" s="30"/>
      <c r="J24" s="31"/>
    </row>
    <row r="25" spans="1:10" ht="32.25" customHeight="1">
      <c r="A25" s="10" t="s">
        <v>29</v>
      </c>
      <c r="B25" s="42">
        <v>386500</v>
      </c>
      <c r="C25" s="42">
        <v>371791</v>
      </c>
      <c r="D25" s="30">
        <f t="shared" si="0"/>
        <v>-14709</v>
      </c>
      <c r="E25" s="29">
        <f t="shared" si="1"/>
        <v>96.194307891332471</v>
      </c>
      <c r="F25" s="44">
        <v>348400</v>
      </c>
      <c r="G25" s="26">
        <f t="shared" si="2"/>
        <v>-23391</v>
      </c>
      <c r="H25" s="25">
        <f t="shared" si="3"/>
        <v>93.708562068473952</v>
      </c>
      <c r="I25" s="27">
        <f t="shared" si="4"/>
        <v>-38100</v>
      </c>
      <c r="J25" s="38">
        <f t="shared" si="5"/>
        <v>90.142302716688221</v>
      </c>
    </row>
    <row r="26" spans="1:10" ht="24.75" customHeight="1">
      <c r="A26" s="10" t="s">
        <v>30</v>
      </c>
      <c r="B26" s="42">
        <v>1151000</v>
      </c>
      <c r="C26" s="42">
        <v>1304156</v>
      </c>
      <c r="D26" s="30">
        <f t="shared" si="0"/>
        <v>153156</v>
      </c>
      <c r="E26" s="29">
        <f t="shared" si="1"/>
        <v>113.30634231103389</v>
      </c>
      <c r="F26" s="44">
        <v>1173000</v>
      </c>
      <c r="G26" s="30">
        <f t="shared" si="2"/>
        <v>-131156</v>
      </c>
      <c r="H26" s="29">
        <f t="shared" si="3"/>
        <v>89.94322765067983</v>
      </c>
      <c r="I26" s="30">
        <f t="shared" si="4"/>
        <v>22000</v>
      </c>
      <c r="J26" s="31">
        <f t="shared" si="5"/>
        <v>101.91138140747175</v>
      </c>
    </row>
    <row r="27" spans="1:10" ht="34.5" customHeight="1">
      <c r="A27" s="11" t="s">
        <v>10</v>
      </c>
      <c r="B27" s="42">
        <v>318300</v>
      </c>
      <c r="C27" s="42">
        <v>311489</v>
      </c>
      <c r="D27" s="30">
        <f t="shared" si="0"/>
        <v>-6811</v>
      </c>
      <c r="E27" s="29">
        <f t="shared" si="1"/>
        <v>97.860194784794217</v>
      </c>
      <c r="F27" s="44">
        <v>276000</v>
      </c>
      <c r="G27" s="30">
        <f t="shared" si="2"/>
        <v>-35489</v>
      </c>
      <c r="H27" s="29">
        <f t="shared" si="3"/>
        <v>88.60666026729676</v>
      </c>
      <c r="I27" s="30">
        <f t="shared" si="4"/>
        <v>-42300</v>
      </c>
      <c r="J27" s="31">
        <f t="shared" si="5"/>
        <v>86.710650329877467</v>
      </c>
    </row>
    <row r="28" spans="1:10" ht="35.25" customHeight="1">
      <c r="A28" s="11" t="s">
        <v>11</v>
      </c>
      <c r="B28" s="42">
        <v>10021200</v>
      </c>
      <c r="C28" s="42">
        <v>10957802</v>
      </c>
      <c r="D28" s="30">
        <f t="shared" si="0"/>
        <v>936602</v>
      </c>
      <c r="E28" s="29">
        <f t="shared" si="1"/>
        <v>109.34620604318843</v>
      </c>
      <c r="F28" s="44">
        <v>8962500</v>
      </c>
      <c r="G28" s="30">
        <f t="shared" si="2"/>
        <v>-1995302</v>
      </c>
      <c r="H28" s="29">
        <f t="shared" si="3"/>
        <v>81.791038020216106</v>
      </c>
      <c r="I28" s="30">
        <f t="shared" si="4"/>
        <v>-1058700</v>
      </c>
      <c r="J28" s="31">
        <f t="shared" si="5"/>
        <v>89.435396958448081</v>
      </c>
    </row>
    <row r="29" spans="1:10" ht="30" customHeight="1" thickBot="1">
      <c r="A29" s="12" t="s">
        <v>12</v>
      </c>
      <c r="B29" s="45">
        <v>3591000</v>
      </c>
      <c r="C29" s="45">
        <v>3756548</v>
      </c>
      <c r="D29" s="34">
        <f t="shared" si="0"/>
        <v>165548</v>
      </c>
      <c r="E29" s="32">
        <f t="shared" si="1"/>
        <v>104.61008075744917</v>
      </c>
      <c r="F29" s="46">
        <v>3875700</v>
      </c>
      <c r="G29" s="34">
        <f t="shared" si="2"/>
        <v>119152</v>
      </c>
      <c r="H29" s="32">
        <f t="shared" si="3"/>
        <v>103.17184819680196</v>
      </c>
      <c r="I29" s="33">
        <f t="shared" si="4"/>
        <v>284700</v>
      </c>
      <c r="J29" s="35">
        <f t="shared" si="5"/>
        <v>107.92815371762741</v>
      </c>
    </row>
    <row r="30" spans="1:10" ht="40.5" customHeight="1">
      <c r="A30" s="13" t="s">
        <v>13</v>
      </c>
      <c r="B30" s="47">
        <v>3900</v>
      </c>
      <c r="C30" s="47">
        <v>3864</v>
      </c>
      <c r="D30" s="26">
        <f t="shared" si="0"/>
        <v>-36</v>
      </c>
      <c r="E30" s="25">
        <f t="shared" si="1"/>
        <v>99.07692307692308</v>
      </c>
      <c r="F30" s="48">
        <v>4800</v>
      </c>
      <c r="G30" s="26">
        <f t="shared" si="2"/>
        <v>936</v>
      </c>
      <c r="H30" s="25">
        <f t="shared" si="3"/>
        <v>124.22360248447204</v>
      </c>
      <c r="I30" s="27">
        <f t="shared" si="4"/>
        <v>900</v>
      </c>
      <c r="J30" s="28">
        <f t="shared" si="5"/>
        <v>123.07692307692308</v>
      </c>
    </row>
    <row r="31" spans="1:10" ht="49.5" customHeight="1">
      <c r="A31" s="11" t="s">
        <v>14</v>
      </c>
      <c r="B31" s="42">
        <v>4979200</v>
      </c>
      <c r="C31" s="42">
        <v>4845452</v>
      </c>
      <c r="D31" s="30">
        <f t="shared" si="0"/>
        <v>-133748</v>
      </c>
      <c r="E31" s="29">
        <f t="shared" si="1"/>
        <v>97.313865681233935</v>
      </c>
      <c r="F31" s="44">
        <v>5021200</v>
      </c>
      <c r="G31" s="30">
        <f t="shared" si="2"/>
        <v>175748</v>
      </c>
      <c r="H31" s="29">
        <f t="shared" si="3"/>
        <v>103.62707132378981</v>
      </c>
      <c r="I31" s="30">
        <f t="shared" si="4"/>
        <v>42000</v>
      </c>
      <c r="J31" s="31">
        <f t="shared" si="5"/>
        <v>100.84350899742931</v>
      </c>
    </row>
    <row r="32" spans="1:10" ht="39.75" customHeight="1">
      <c r="A32" s="11" t="s">
        <v>15</v>
      </c>
      <c r="B32" s="42">
        <v>1958800</v>
      </c>
      <c r="C32" s="42">
        <v>1909581</v>
      </c>
      <c r="D32" s="30">
        <f t="shared" si="0"/>
        <v>-49219</v>
      </c>
      <c r="E32" s="29">
        <f t="shared" si="1"/>
        <v>97.487288135593218</v>
      </c>
      <c r="F32" s="44">
        <v>1612400</v>
      </c>
      <c r="G32" s="30">
        <f t="shared" si="2"/>
        <v>-297181</v>
      </c>
      <c r="H32" s="29">
        <f t="shared" si="3"/>
        <v>84.437371339576586</v>
      </c>
      <c r="I32" s="30">
        <f t="shared" si="4"/>
        <v>-346400</v>
      </c>
      <c r="J32" s="31">
        <f t="shared" si="5"/>
        <v>82.315703491933832</v>
      </c>
    </row>
    <row r="33" spans="1:10" ht="29.25" customHeight="1">
      <c r="A33" s="11" t="s">
        <v>16</v>
      </c>
      <c r="B33" s="42">
        <v>25200</v>
      </c>
      <c r="C33" s="42">
        <v>31434</v>
      </c>
      <c r="D33" s="30">
        <f t="shared" si="0"/>
        <v>6234</v>
      </c>
      <c r="E33" s="29">
        <f t="shared" si="1"/>
        <v>124.73809523809524</v>
      </c>
      <c r="F33" s="44">
        <v>29300</v>
      </c>
      <c r="G33" s="30">
        <f t="shared" si="2"/>
        <v>-2134</v>
      </c>
      <c r="H33" s="29">
        <f t="shared" si="3"/>
        <v>93.211172615639114</v>
      </c>
      <c r="I33" s="30">
        <f t="shared" si="4"/>
        <v>4100</v>
      </c>
      <c r="J33" s="31">
        <f t="shared" si="5"/>
        <v>116.26984126984128</v>
      </c>
    </row>
    <row r="34" spans="1:10" ht="37.5" customHeight="1">
      <c r="A34" s="11" t="s">
        <v>17</v>
      </c>
      <c r="B34" s="42">
        <v>26000</v>
      </c>
      <c r="C34" s="42">
        <v>24487</v>
      </c>
      <c r="D34" s="30">
        <f t="shared" si="0"/>
        <v>-1513</v>
      </c>
      <c r="E34" s="29">
        <f t="shared" si="1"/>
        <v>94.180769230769229</v>
      </c>
      <c r="F34" s="44">
        <v>43800</v>
      </c>
      <c r="G34" s="30">
        <f t="shared" si="2"/>
        <v>19313</v>
      </c>
      <c r="H34" s="29">
        <f t="shared" si="3"/>
        <v>178.87042103973536</v>
      </c>
      <c r="I34" s="30">
        <f t="shared" si="4"/>
        <v>17800</v>
      </c>
      <c r="J34" s="31">
        <f t="shared" si="5"/>
        <v>168.46153846153845</v>
      </c>
    </row>
    <row r="35" spans="1:10" ht="37.5" customHeight="1" thickBot="1">
      <c r="A35" s="12" t="s">
        <v>19</v>
      </c>
      <c r="B35" s="45">
        <v>16800</v>
      </c>
      <c r="C35" s="45">
        <v>21639</v>
      </c>
      <c r="D35" s="34">
        <f t="shared" si="0"/>
        <v>4839</v>
      </c>
      <c r="E35" s="32">
        <f t="shared" si="1"/>
        <v>128.80357142857144</v>
      </c>
      <c r="F35" s="46">
        <v>15080</v>
      </c>
      <c r="G35" s="34">
        <f t="shared" si="2"/>
        <v>-6559</v>
      </c>
      <c r="H35" s="32">
        <f t="shared" si="3"/>
        <v>69.688987476315916</v>
      </c>
      <c r="I35" s="33">
        <f t="shared" si="4"/>
        <v>-1720</v>
      </c>
      <c r="J35" s="35">
        <f t="shared" si="5"/>
        <v>89.761904761904759</v>
      </c>
    </row>
  </sheetData>
  <mergeCells count="14">
    <mergeCell ref="I3:J4"/>
    <mergeCell ref="I5:I6"/>
    <mergeCell ref="J5:J6"/>
    <mergeCell ref="A1:H1"/>
    <mergeCell ref="A3:A6"/>
    <mergeCell ref="B3:B6"/>
    <mergeCell ref="C3:C6"/>
    <mergeCell ref="F3:F6"/>
    <mergeCell ref="G3:H4"/>
    <mergeCell ref="G5:G6"/>
    <mergeCell ref="H5:H6"/>
    <mergeCell ref="D3:E4"/>
    <mergeCell ref="D5:D6"/>
    <mergeCell ref="E5:E6"/>
  </mergeCells>
  <pageMargins left="0.15748031496062992" right="0.15748031496062992" top="0.19685039370078741" bottom="0.19685039370078741" header="0.51181102362204722" footer="0.51181102362204722"/>
  <pageSetup paperSize="9" scale="57" orientation="portrait" r:id="rId1"/>
  <headerFooter alignWithMargins="0"/>
  <rowBreaks count="1" manualBreakCount="1">
    <brk id="35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92D050"/>
    <pageSetUpPr fitToPage="1"/>
  </sheetPr>
  <dimension ref="A1:L16"/>
  <sheetViews>
    <sheetView view="pageBreakPreview" topLeftCell="B1" zoomScale="90" zoomScaleNormal="100" zoomScaleSheetLayoutView="90" workbookViewId="0">
      <selection activeCell="L5" sqref="L5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9.140625" customWidth="1"/>
    <col min="5" max="6" width="12.85546875" customWidth="1"/>
    <col min="7" max="7" width="17.42578125" customWidth="1"/>
    <col min="8" max="8" width="16.140625" customWidth="1"/>
    <col min="9" max="9" width="44.42578125" customWidth="1"/>
    <col min="10" max="10" width="12" bestFit="1" customWidth="1"/>
    <col min="11" max="11" width="11" bestFit="1" customWidth="1"/>
    <col min="12" max="12" width="13.140625" bestFit="1" customWidth="1"/>
  </cols>
  <sheetData>
    <row r="1" spans="1:12">
      <c r="I1" s="3" t="s">
        <v>91</v>
      </c>
    </row>
    <row r="2" spans="1:12" ht="31.5" customHeight="1">
      <c r="A2" s="427" t="s">
        <v>74</v>
      </c>
      <c r="B2" s="427"/>
      <c r="C2" s="427"/>
      <c r="D2" s="427"/>
      <c r="E2" s="427"/>
      <c r="F2" s="427"/>
      <c r="G2" s="427"/>
      <c r="H2" s="427"/>
      <c r="I2" s="427"/>
    </row>
    <row r="3" spans="1:12" ht="45" customHeight="1">
      <c r="A3" s="58" t="s">
        <v>45</v>
      </c>
      <c r="B3" s="78" t="s">
        <v>75</v>
      </c>
      <c r="C3" s="63"/>
      <c r="D3" s="60"/>
      <c r="E3" s="60"/>
      <c r="F3" s="60"/>
      <c r="G3" s="60"/>
      <c r="H3" s="60"/>
    </row>
    <row r="4" spans="1:12">
      <c r="A4" s="61"/>
      <c r="B4" s="62"/>
      <c r="C4" s="60"/>
      <c r="D4" s="60"/>
      <c r="E4" s="60"/>
      <c r="F4" s="60"/>
      <c r="G4" s="60"/>
      <c r="H4" s="60"/>
      <c r="J4" s="350">
        <f>D5+'Дох акц этил спирт пищ.сырье'!D5+'Дох акц спирт.прод'!D5+'Дох акц спирт НЕпищ.сырье'!D5</f>
        <v>4033764</v>
      </c>
      <c r="K4">
        <v>18598587.128102388</v>
      </c>
      <c r="L4" s="350">
        <f>K4+J4</f>
        <v>22632351.128102388</v>
      </c>
    </row>
    <row r="5" spans="1:12" ht="30.75" customHeight="1">
      <c r="A5" s="426" t="s">
        <v>199</v>
      </c>
      <c r="B5" s="426"/>
      <c r="C5" s="180"/>
      <c r="D5" s="64">
        <f>E13</f>
        <v>4021697</v>
      </c>
      <c r="E5" s="65" t="s">
        <v>57</v>
      </c>
      <c r="F5" s="428" t="s">
        <v>418</v>
      </c>
      <c r="G5" s="429"/>
      <c r="H5" s="429"/>
      <c r="I5" s="430"/>
      <c r="J5" s="350">
        <f>D6+'Дох акц этил спирт пищ.сырье'!D6+'Дох акц спирт.прод'!D6+'Дох акц спирт НЕпищ.сырье'!D6</f>
        <v>4566094</v>
      </c>
      <c r="K5">
        <v>20379078.663228706</v>
      </c>
      <c r="L5" s="350">
        <f t="shared" ref="L5:L7" si="0">K5+J5</f>
        <v>24945172.663228706</v>
      </c>
    </row>
    <row r="6" spans="1:12" ht="28.5" customHeight="1">
      <c r="A6" s="426" t="s">
        <v>71</v>
      </c>
      <c r="B6" s="426"/>
      <c r="C6" s="177"/>
      <c r="D6" s="64">
        <f>E14</f>
        <v>4553021</v>
      </c>
      <c r="E6" s="65" t="s">
        <v>57</v>
      </c>
      <c r="F6" s="431"/>
      <c r="G6" s="432"/>
      <c r="H6" s="432"/>
      <c r="I6" s="433"/>
      <c r="J6" s="350">
        <f>D7+'Дох акц этил спирт пищ.сырье'!D7+'Дох акц спирт.прод'!D7+'Дох акц спирт НЕпищ.сырье'!D7</f>
        <v>4821318</v>
      </c>
      <c r="K6">
        <v>22939314.960424788</v>
      </c>
      <c r="L6" s="350">
        <f t="shared" si="0"/>
        <v>27760632.960424788</v>
      </c>
    </row>
    <row r="7" spans="1:12" ht="28.5" customHeight="1">
      <c r="A7" s="426" t="s">
        <v>103</v>
      </c>
      <c r="B7" s="426"/>
      <c r="C7" s="177"/>
      <c r="D7" s="64">
        <f>E15</f>
        <v>4807515</v>
      </c>
      <c r="E7" s="65" t="s">
        <v>57</v>
      </c>
      <c r="F7" s="431"/>
      <c r="G7" s="432"/>
      <c r="H7" s="432"/>
      <c r="I7" s="433"/>
      <c r="J7" s="350">
        <f>D8+'Дох акц этил спирт пищ.сырье'!D8+'Дох акц спирт.прод'!D8+'Дох акц спирт НЕпищ.сырье'!D8</f>
        <v>5089532</v>
      </c>
      <c r="K7">
        <v>25800967.122690853</v>
      </c>
      <c r="L7" s="350">
        <f t="shared" si="0"/>
        <v>30890499.122690853</v>
      </c>
    </row>
    <row r="8" spans="1:12" ht="28.5" customHeight="1">
      <c r="A8" s="426" t="s">
        <v>200</v>
      </c>
      <c r="B8" s="426"/>
      <c r="C8" s="177"/>
      <c r="D8" s="64">
        <f>E16</f>
        <v>5074961</v>
      </c>
      <c r="E8" s="65" t="s">
        <v>57</v>
      </c>
      <c r="F8" s="434"/>
      <c r="G8" s="435"/>
      <c r="H8" s="435"/>
      <c r="I8" s="436"/>
      <c r="J8" s="350"/>
    </row>
    <row r="9" spans="1:12">
      <c r="A9" s="69"/>
      <c r="B9" s="68"/>
      <c r="C9" s="73"/>
      <c r="D9" s="73"/>
      <c r="E9" s="73"/>
      <c r="F9" s="73"/>
      <c r="G9" s="73"/>
      <c r="H9" s="73"/>
      <c r="I9" s="67"/>
    </row>
    <row r="10" spans="1:12" ht="19.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12" ht="26.2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12" ht="30.75" customHeight="1">
      <c r="A12" s="413"/>
      <c r="B12" s="413"/>
      <c r="C12" s="413"/>
      <c r="D12" s="419"/>
      <c r="E12" s="419"/>
      <c r="F12" s="419"/>
      <c r="G12" s="178" t="s">
        <v>47</v>
      </c>
      <c r="H12" s="178" t="s">
        <v>48</v>
      </c>
      <c r="I12" s="413"/>
    </row>
    <row r="13" spans="1:12" ht="251.25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4021697</v>
      </c>
      <c r="F13" s="182" t="s">
        <v>18</v>
      </c>
      <c r="G13" s="184"/>
      <c r="H13" s="184"/>
      <c r="I13" s="183" t="s">
        <v>420</v>
      </c>
    </row>
    <row r="14" spans="1:12" ht="51.7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4553021</v>
      </c>
      <c r="F14" s="182" t="s">
        <v>18</v>
      </c>
      <c r="G14" s="59"/>
      <c r="H14" s="59"/>
      <c r="I14" s="422" t="s">
        <v>421</v>
      </c>
    </row>
    <row r="15" spans="1:12" ht="51.75" customHeight="1">
      <c r="A15" s="185">
        <v>3</v>
      </c>
      <c r="B15" s="416"/>
      <c r="C15" s="414"/>
      <c r="D15" s="348" t="s">
        <v>102</v>
      </c>
      <c r="E15" s="176">
        <v>4807515</v>
      </c>
      <c r="F15" s="182" t="s">
        <v>18</v>
      </c>
      <c r="G15" s="59"/>
      <c r="H15" s="59"/>
      <c r="I15" s="423"/>
    </row>
    <row r="16" spans="1:12" ht="51.75" customHeight="1">
      <c r="A16" s="185">
        <v>4</v>
      </c>
      <c r="B16" s="417"/>
      <c r="C16" s="356"/>
      <c r="D16" s="348" t="s">
        <v>198</v>
      </c>
      <c r="E16" s="176">
        <v>5074961</v>
      </c>
      <c r="F16" s="182" t="s">
        <v>18</v>
      </c>
      <c r="G16" s="59"/>
      <c r="H16" s="59"/>
      <c r="I16" s="424"/>
    </row>
  </sheetData>
  <mergeCells count="18">
    <mergeCell ref="F11:F12"/>
    <mergeCell ref="G11:H11"/>
    <mergeCell ref="A2:I2"/>
    <mergeCell ref="A5:B5"/>
    <mergeCell ref="A6:B6"/>
    <mergeCell ref="A7:B7"/>
    <mergeCell ref="C14:C16"/>
    <mergeCell ref="B14:B16"/>
    <mergeCell ref="I14:I16"/>
    <mergeCell ref="F5:I8"/>
    <mergeCell ref="I11:I12"/>
    <mergeCell ref="A8:B8"/>
    <mergeCell ref="A10:I10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scale="68" fitToHeight="0" orientation="landscape" horizontalDpi="200" verticalDpi="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92D050"/>
  </sheetPr>
  <dimension ref="A1:I16"/>
  <sheetViews>
    <sheetView tabSelected="1"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4.140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92</v>
      </c>
    </row>
    <row r="2" spans="1:9" ht="39.75" customHeight="1">
      <c r="A2" s="427" t="s">
        <v>65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76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30.75" customHeight="1">
      <c r="A5" s="426" t="s">
        <v>199</v>
      </c>
      <c r="B5" s="426"/>
      <c r="C5" s="180"/>
      <c r="D5" s="64">
        <f>E13</f>
        <v>7335</v>
      </c>
      <c r="E5" s="65" t="s">
        <v>57</v>
      </c>
      <c r="F5" s="428" t="s">
        <v>418</v>
      </c>
      <c r="G5" s="429"/>
      <c r="H5" s="429"/>
      <c r="I5" s="430"/>
    </row>
    <row r="6" spans="1:9" ht="28.5" customHeight="1">
      <c r="A6" s="426" t="s">
        <v>71</v>
      </c>
      <c r="B6" s="426"/>
      <c r="C6" s="177"/>
      <c r="D6" s="64">
        <f>E14</f>
        <v>7999</v>
      </c>
      <c r="E6" s="65" t="s">
        <v>57</v>
      </c>
      <c r="F6" s="431"/>
      <c r="G6" s="432"/>
      <c r="H6" s="432"/>
      <c r="I6" s="433"/>
    </row>
    <row r="7" spans="1:9" ht="28.5" customHeight="1">
      <c r="A7" s="426" t="s">
        <v>103</v>
      </c>
      <c r="B7" s="426"/>
      <c r="C7" s="177"/>
      <c r="D7" s="64">
        <f>E15</f>
        <v>8446</v>
      </c>
      <c r="E7" s="65" t="s">
        <v>57</v>
      </c>
      <c r="F7" s="431"/>
      <c r="G7" s="432"/>
      <c r="H7" s="432"/>
      <c r="I7" s="433"/>
    </row>
    <row r="8" spans="1:9" ht="28.5" customHeight="1">
      <c r="A8" s="426" t="s">
        <v>200</v>
      </c>
      <c r="B8" s="426"/>
      <c r="C8" s="177"/>
      <c r="D8" s="64">
        <f>E16</f>
        <v>8916</v>
      </c>
      <c r="E8" s="65" t="s">
        <v>57</v>
      </c>
      <c r="F8" s="434"/>
      <c r="G8" s="435"/>
      <c r="H8" s="435"/>
      <c r="I8" s="436"/>
    </row>
    <row r="9" spans="1:9">
      <c r="A9" s="69"/>
      <c r="B9" s="68"/>
      <c r="C9" s="73"/>
      <c r="D9" s="73"/>
      <c r="E9" s="73"/>
      <c r="F9" s="73"/>
      <c r="G9" s="73"/>
      <c r="H9" s="73"/>
      <c r="I9" s="67"/>
    </row>
    <row r="10" spans="1:9" ht="19.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26.2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30.7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159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7335</v>
      </c>
      <c r="F13" s="182" t="s">
        <v>18</v>
      </c>
      <c r="G13" s="184"/>
      <c r="H13" s="184"/>
      <c r="I13" s="183" t="s">
        <v>420</v>
      </c>
    </row>
    <row r="14" spans="1:9" ht="67.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7999</v>
      </c>
      <c r="F14" s="182" t="s">
        <v>18</v>
      </c>
      <c r="G14" s="59"/>
      <c r="H14" s="59"/>
      <c r="I14" s="422" t="s">
        <v>421</v>
      </c>
    </row>
    <row r="15" spans="1:9" ht="67.5" customHeight="1">
      <c r="A15" s="185">
        <v>3</v>
      </c>
      <c r="B15" s="416"/>
      <c r="C15" s="414"/>
      <c r="D15" s="348" t="s">
        <v>102</v>
      </c>
      <c r="E15" s="176">
        <v>8446</v>
      </c>
      <c r="F15" s="182" t="s">
        <v>18</v>
      </c>
      <c r="G15" s="59"/>
      <c r="H15" s="59"/>
      <c r="I15" s="423"/>
    </row>
    <row r="16" spans="1:9" ht="62.25" customHeight="1">
      <c r="A16" s="185">
        <v>4</v>
      </c>
      <c r="B16" s="417"/>
      <c r="C16" s="356"/>
      <c r="D16" s="348" t="s">
        <v>198</v>
      </c>
      <c r="E16" s="176">
        <v>8916</v>
      </c>
      <c r="F16" s="182" t="s">
        <v>18</v>
      </c>
      <c r="G16" s="59"/>
      <c r="H16" s="59"/>
      <c r="I16" s="424"/>
    </row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4" orientation="landscape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92D050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93</v>
      </c>
    </row>
    <row r="2" spans="1:9" ht="39.75" customHeight="1">
      <c r="A2" s="427" t="s">
        <v>66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77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33.75" customHeight="1">
      <c r="A5" s="426" t="s">
        <v>199</v>
      </c>
      <c r="B5" s="426"/>
      <c r="C5" s="180"/>
      <c r="D5" s="64">
        <f>E13</f>
        <v>412</v>
      </c>
      <c r="E5" s="65" t="s">
        <v>57</v>
      </c>
      <c r="F5" s="428" t="s">
        <v>418</v>
      </c>
      <c r="G5" s="429"/>
      <c r="H5" s="429"/>
      <c r="I5" s="430"/>
    </row>
    <row r="6" spans="1:9" ht="33.75" customHeight="1">
      <c r="A6" s="426" t="s">
        <v>71</v>
      </c>
      <c r="B6" s="426"/>
      <c r="C6" s="177"/>
      <c r="D6" s="64">
        <f>E14</f>
        <v>241</v>
      </c>
      <c r="E6" s="65" t="s">
        <v>57</v>
      </c>
      <c r="F6" s="431"/>
      <c r="G6" s="432"/>
      <c r="H6" s="432"/>
      <c r="I6" s="433"/>
    </row>
    <row r="7" spans="1:9" ht="33.75" customHeight="1">
      <c r="A7" s="426" t="s">
        <v>103</v>
      </c>
      <c r="B7" s="426"/>
      <c r="C7" s="177"/>
      <c r="D7" s="64">
        <f>E15</f>
        <v>254</v>
      </c>
      <c r="E7" s="65" t="s">
        <v>57</v>
      </c>
      <c r="F7" s="431"/>
      <c r="G7" s="432"/>
      <c r="H7" s="432"/>
      <c r="I7" s="433"/>
    </row>
    <row r="8" spans="1:9" ht="33.75" customHeight="1">
      <c r="A8" s="426" t="s">
        <v>200</v>
      </c>
      <c r="B8" s="426"/>
      <c r="C8" s="177"/>
      <c r="D8" s="64">
        <f>E16</f>
        <v>268</v>
      </c>
      <c r="E8" s="65" t="s">
        <v>57</v>
      </c>
      <c r="F8" s="434"/>
      <c r="G8" s="435"/>
      <c r="H8" s="435"/>
      <c r="I8" s="436"/>
    </row>
    <row r="9" spans="1:9" ht="33.75" customHeight="1">
      <c r="A9" s="69"/>
      <c r="B9" s="68"/>
      <c r="C9" s="73"/>
      <c r="D9" s="73"/>
      <c r="E9" s="73"/>
      <c r="F9" s="73"/>
      <c r="G9" s="73"/>
      <c r="H9" s="73"/>
      <c r="I9" s="67"/>
    </row>
    <row r="10" spans="1:9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29.2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29.2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73.5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412</v>
      </c>
      <c r="F13" s="182" t="s">
        <v>18</v>
      </c>
      <c r="G13" s="184"/>
      <c r="H13" s="184"/>
      <c r="I13" s="183" t="s">
        <v>420</v>
      </c>
    </row>
    <row r="14" spans="1:9" ht="51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241</v>
      </c>
      <c r="F14" s="182" t="s">
        <v>18</v>
      </c>
      <c r="G14" s="59"/>
      <c r="H14" s="59"/>
      <c r="I14" s="422" t="s">
        <v>421</v>
      </c>
    </row>
    <row r="15" spans="1:9" ht="59.25" customHeight="1">
      <c r="A15" s="185">
        <v>3</v>
      </c>
      <c r="B15" s="416"/>
      <c r="C15" s="414"/>
      <c r="D15" s="348" t="s">
        <v>102</v>
      </c>
      <c r="E15" s="176">
        <v>254</v>
      </c>
      <c r="F15" s="182" t="s">
        <v>18</v>
      </c>
      <c r="G15" s="59"/>
      <c r="H15" s="59"/>
      <c r="I15" s="423"/>
    </row>
    <row r="16" spans="1:9" ht="72.75" customHeight="1">
      <c r="A16" s="185">
        <v>4</v>
      </c>
      <c r="B16" s="417"/>
      <c r="C16" s="356"/>
      <c r="D16" s="348" t="s">
        <v>198</v>
      </c>
      <c r="E16" s="176">
        <v>268</v>
      </c>
      <c r="F16" s="182" t="s">
        <v>18</v>
      </c>
      <c r="G16" s="59"/>
      <c r="H16" s="59"/>
      <c r="I16" s="424"/>
    </row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8" orientation="landscape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92D050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94</v>
      </c>
    </row>
    <row r="2" spans="1:9" ht="39.75" customHeight="1">
      <c r="A2" s="427" t="s">
        <v>67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78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28.5" customHeight="1">
      <c r="A5" s="426" t="s">
        <v>199</v>
      </c>
      <c r="B5" s="426"/>
      <c r="C5" s="180"/>
      <c r="D5" s="64">
        <f>E13</f>
        <v>4320</v>
      </c>
      <c r="E5" s="65" t="s">
        <v>57</v>
      </c>
      <c r="F5" s="428" t="s">
        <v>418</v>
      </c>
      <c r="G5" s="429"/>
      <c r="H5" s="429"/>
      <c r="I5" s="430"/>
    </row>
    <row r="6" spans="1:9" ht="28.5" customHeight="1">
      <c r="A6" s="426" t="s">
        <v>71</v>
      </c>
      <c r="B6" s="426"/>
      <c r="C6" s="177"/>
      <c r="D6" s="64">
        <f>E14</f>
        <v>4833</v>
      </c>
      <c r="E6" s="65" t="s">
        <v>57</v>
      </c>
      <c r="F6" s="431"/>
      <c r="G6" s="432"/>
      <c r="H6" s="432"/>
      <c r="I6" s="433"/>
    </row>
    <row r="7" spans="1:9" ht="28.5" customHeight="1">
      <c r="A7" s="426" t="s">
        <v>103</v>
      </c>
      <c r="B7" s="426"/>
      <c r="C7" s="177"/>
      <c r="D7" s="64">
        <f>E15</f>
        <v>5103</v>
      </c>
      <c r="E7" s="65" t="s">
        <v>57</v>
      </c>
      <c r="F7" s="431"/>
      <c r="G7" s="432"/>
      <c r="H7" s="432"/>
      <c r="I7" s="433"/>
    </row>
    <row r="8" spans="1:9" ht="28.5" customHeight="1">
      <c r="A8" s="426" t="s">
        <v>200</v>
      </c>
      <c r="B8" s="426"/>
      <c r="C8" s="177"/>
      <c r="D8" s="64">
        <f>E16</f>
        <v>5387</v>
      </c>
      <c r="E8" s="65" t="s">
        <v>57</v>
      </c>
      <c r="F8" s="434"/>
      <c r="G8" s="435"/>
      <c r="H8" s="435"/>
      <c r="I8" s="436"/>
    </row>
    <row r="9" spans="1:9" ht="28.5" customHeight="1">
      <c r="A9" s="69"/>
      <c r="B9" s="68"/>
      <c r="C9" s="73"/>
      <c r="D9" s="73"/>
      <c r="E9" s="73"/>
      <c r="F9" s="73"/>
      <c r="G9" s="73"/>
      <c r="H9" s="73"/>
      <c r="I9" s="67"/>
    </row>
    <row r="10" spans="1:9" ht="28.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28.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28.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70.5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4320</v>
      </c>
      <c r="F13" s="182" t="s">
        <v>18</v>
      </c>
      <c r="G13" s="184"/>
      <c r="H13" s="184"/>
      <c r="I13" s="183" t="s">
        <v>420</v>
      </c>
    </row>
    <row r="14" spans="1:9" ht="7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4833</v>
      </c>
      <c r="F14" s="182" t="s">
        <v>18</v>
      </c>
      <c r="G14" s="59"/>
      <c r="H14" s="59"/>
      <c r="I14" s="422" t="s">
        <v>421</v>
      </c>
    </row>
    <row r="15" spans="1:9" ht="67.5" customHeight="1">
      <c r="A15" s="185">
        <v>3</v>
      </c>
      <c r="B15" s="416"/>
      <c r="C15" s="414"/>
      <c r="D15" s="348" t="s">
        <v>102</v>
      </c>
      <c r="E15" s="176">
        <v>5103</v>
      </c>
      <c r="F15" s="182" t="s">
        <v>18</v>
      </c>
      <c r="G15" s="59"/>
      <c r="H15" s="59"/>
      <c r="I15" s="423"/>
    </row>
    <row r="16" spans="1:9" ht="57" customHeight="1">
      <c r="A16" s="185">
        <v>4</v>
      </c>
      <c r="B16" s="417"/>
      <c r="C16" s="356"/>
      <c r="D16" s="348" t="s">
        <v>198</v>
      </c>
      <c r="E16" s="176">
        <v>5387</v>
      </c>
      <c r="F16" s="182" t="s">
        <v>18</v>
      </c>
      <c r="G16" s="59"/>
      <c r="H16" s="59"/>
      <c r="I16" s="424"/>
    </row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9" orientation="landscape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92D050"/>
  </sheetPr>
  <dimension ref="A1:I17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7.5703125" customWidth="1"/>
    <col min="5" max="6" width="12.85546875" customWidth="1"/>
    <col min="7" max="7" width="17.42578125" customWidth="1"/>
    <col min="8" max="8" width="18.42578125" customWidth="1"/>
    <col min="9" max="9" width="38.7109375" customWidth="1"/>
  </cols>
  <sheetData>
    <row r="1" spans="1:9">
      <c r="I1" s="3" t="s">
        <v>95</v>
      </c>
    </row>
    <row r="2" spans="1:9" ht="39.75" customHeight="1">
      <c r="A2" s="427" t="s">
        <v>68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79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36.75" customHeight="1">
      <c r="A5" s="426" t="s">
        <v>199</v>
      </c>
      <c r="B5" s="426"/>
      <c r="C5" s="180"/>
      <c r="D5" s="64">
        <f>E13</f>
        <v>7710031</v>
      </c>
      <c r="E5" s="65" t="s">
        <v>57</v>
      </c>
      <c r="F5" s="428" t="s">
        <v>418</v>
      </c>
      <c r="G5" s="429"/>
      <c r="H5" s="429"/>
      <c r="I5" s="430"/>
    </row>
    <row r="6" spans="1:9" ht="36.75" customHeight="1">
      <c r="A6" s="426" t="s">
        <v>71</v>
      </c>
      <c r="B6" s="426"/>
      <c r="C6" s="177"/>
      <c r="D6" s="64">
        <f>E14</f>
        <v>8200114</v>
      </c>
      <c r="E6" s="65" t="s">
        <v>57</v>
      </c>
      <c r="F6" s="431"/>
      <c r="G6" s="432"/>
      <c r="H6" s="432"/>
      <c r="I6" s="433"/>
    </row>
    <row r="7" spans="1:9" ht="36.75" customHeight="1">
      <c r="A7" s="426" t="s">
        <v>103</v>
      </c>
      <c r="B7" s="426"/>
      <c r="C7" s="177"/>
      <c r="D7" s="64">
        <f>E15</f>
        <v>8604210</v>
      </c>
      <c r="E7" s="65" t="s">
        <v>57</v>
      </c>
      <c r="F7" s="431"/>
      <c r="G7" s="432"/>
      <c r="H7" s="432"/>
      <c r="I7" s="433"/>
    </row>
    <row r="8" spans="1:9" ht="36.75" customHeight="1">
      <c r="A8" s="426" t="s">
        <v>200</v>
      </c>
      <c r="B8" s="426"/>
      <c r="C8" s="177"/>
      <c r="D8" s="64">
        <f>E16</f>
        <v>8961433</v>
      </c>
      <c r="E8" s="65" t="s">
        <v>57</v>
      </c>
      <c r="F8" s="434"/>
      <c r="G8" s="435"/>
      <c r="H8" s="435"/>
      <c r="I8" s="436"/>
    </row>
    <row r="9" spans="1:9" ht="24.75" customHeight="1">
      <c r="A9" s="69"/>
      <c r="B9" s="68"/>
      <c r="C9" s="73"/>
      <c r="D9" s="73"/>
      <c r="E9" s="73"/>
      <c r="F9" s="73"/>
      <c r="G9" s="73"/>
      <c r="H9" s="73"/>
      <c r="I9" s="67"/>
    </row>
    <row r="10" spans="1:9" ht="24.7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24.7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24.7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66.75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7710031</v>
      </c>
      <c r="F13" s="182" t="s">
        <v>18</v>
      </c>
      <c r="G13" s="184"/>
      <c r="H13" s="184"/>
      <c r="I13" s="183" t="s">
        <v>420</v>
      </c>
    </row>
    <row r="14" spans="1:9" ht="79.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8200114</v>
      </c>
      <c r="F14" s="182" t="s">
        <v>18</v>
      </c>
      <c r="G14" s="59"/>
      <c r="H14" s="59"/>
      <c r="I14" s="422" t="s">
        <v>421</v>
      </c>
    </row>
    <row r="15" spans="1:9" ht="53.25" customHeight="1">
      <c r="A15" s="185">
        <v>3</v>
      </c>
      <c r="B15" s="416"/>
      <c r="C15" s="414"/>
      <c r="D15" s="348" t="s">
        <v>102</v>
      </c>
      <c r="E15" s="176">
        <v>8604210</v>
      </c>
      <c r="F15" s="182" t="s">
        <v>18</v>
      </c>
      <c r="G15" s="59"/>
      <c r="H15" s="59"/>
      <c r="I15" s="423"/>
    </row>
    <row r="16" spans="1:9" ht="61.5" customHeight="1">
      <c r="A16" s="185">
        <v>4</v>
      </c>
      <c r="B16" s="417"/>
      <c r="C16" s="356"/>
      <c r="D16" s="348" t="s">
        <v>198</v>
      </c>
      <c r="E16" s="176">
        <v>8961433</v>
      </c>
      <c r="F16" s="182" t="s">
        <v>18</v>
      </c>
      <c r="G16" s="59"/>
      <c r="H16" s="59"/>
      <c r="I16" s="424"/>
    </row>
    <row r="17" ht="30" customHeight="1"/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5" orientation="landscape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92D050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59</v>
      </c>
    </row>
    <row r="2" spans="1:9" ht="39.75" customHeight="1">
      <c r="A2" s="427" t="s">
        <v>69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80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38.25" customHeight="1">
      <c r="A5" s="426" t="s">
        <v>199</v>
      </c>
      <c r="B5" s="426"/>
      <c r="C5" s="180"/>
      <c r="D5" s="64">
        <f>E13</f>
        <v>34745</v>
      </c>
      <c r="E5" s="65" t="s">
        <v>57</v>
      </c>
      <c r="F5" s="428" t="s">
        <v>418</v>
      </c>
      <c r="G5" s="429"/>
      <c r="H5" s="429"/>
      <c r="I5" s="430"/>
    </row>
    <row r="6" spans="1:9" ht="38.25" customHeight="1">
      <c r="A6" s="426" t="s">
        <v>71</v>
      </c>
      <c r="B6" s="426"/>
      <c r="C6" s="177"/>
      <c r="D6" s="64">
        <f>E14</f>
        <v>38913</v>
      </c>
      <c r="E6" s="65" t="s">
        <v>57</v>
      </c>
      <c r="F6" s="431"/>
      <c r="G6" s="432"/>
      <c r="H6" s="432"/>
      <c r="I6" s="433"/>
    </row>
    <row r="7" spans="1:9" ht="38.25" customHeight="1">
      <c r="A7" s="426" t="s">
        <v>103</v>
      </c>
      <c r="B7" s="426"/>
      <c r="C7" s="177"/>
      <c r="D7" s="64">
        <f>E15</f>
        <v>40459</v>
      </c>
      <c r="E7" s="65" t="s">
        <v>57</v>
      </c>
      <c r="F7" s="431"/>
      <c r="G7" s="432"/>
      <c r="H7" s="432"/>
      <c r="I7" s="433"/>
    </row>
    <row r="8" spans="1:9" ht="38.25" customHeight="1">
      <c r="A8" s="426" t="s">
        <v>200</v>
      </c>
      <c r="B8" s="426"/>
      <c r="C8" s="177"/>
      <c r="D8" s="64">
        <f>E16</f>
        <v>42078</v>
      </c>
      <c r="E8" s="65" t="s">
        <v>57</v>
      </c>
      <c r="F8" s="434"/>
      <c r="G8" s="435"/>
      <c r="H8" s="435"/>
      <c r="I8" s="436"/>
    </row>
    <row r="9" spans="1:9" ht="9" customHeight="1">
      <c r="A9" s="69"/>
      <c r="B9" s="68"/>
      <c r="C9" s="73"/>
      <c r="D9" s="73"/>
      <c r="E9" s="73"/>
      <c r="F9" s="73"/>
      <c r="G9" s="73"/>
      <c r="H9" s="73"/>
      <c r="I9" s="67"/>
    </row>
    <row r="10" spans="1:9" ht="30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38.2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38.2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99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34745</v>
      </c>
      <c r="F13" s="182" t="s">
        <v>18</v>
      </c>
      <c r="G13" s="184"/>
      <c r="H13" s="184"/>
      <c r="I13" s="183" t="s">
        <v>420</v>
      </c>
    </row>
    <row r="14" spans="1:9" ht="59.2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38913</v>
      </c>
      <c r="F14" s="182" t="s">
        <v>18</v>
      </c>
      <c r="G14" s="59"/>
      <c r="H14" s="59"/>
      <c r="I14" s="422" t="s">
        <v>421</v>
      </c>
    </row>
    <row r="15" spans="1:9" ht="63.75" customHeight="1">
      <c r="A15" s="185">
        <v>3</v>
      </c>
      <c r="B15" s="416"/>
      <c r="C15" s="414"/>
      <c r="D15" s="348" t="s">
        <v>102</v>
      </c>
      <c r="E15" s="176">
        <v>40459</v>
      </c>
      <c r="F15" s="182" t="s">
        <v>18</v>
      </c>
      <c r="G15" s="59"/>
      <c r="H15" s="59"/>
      <c r="I15" s="423"/>
    </row>
    <row r="16" spans="1:9" ht="66.75" customHeight="1">
      <c r="A16" s="185">
        <v>4</v>
      </c>
      <c r="B16" s="417"/>
      <c r="C16" s="356"/>
      <c r="D16" s="348" t="s">
        <v>198</v>
      </c>
      <c r="E16" s="176">
        <v>42078</v>
      </c>
      <c r="F16" s="182" t="s">
        <v>18</v>
      </c>
      <c r="G16" s="59"/>
      <c r="H16" s="59"/>
      <c r="I16" s="424"/>
    </row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6" orientation="landscape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92D050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5.5703125" customWidth="1"/>
    <col min="5" max="6" width="12.85546875" customWidth="1"/>
    <col min="7" max="7" width="17.42578125" customWidth="1"/>
    <col min="8" max="8" width="17.85546875" customWidth="1"/>
    <col min="9" max="9" width="38.7109375" customWidth="1"/>
  </cols>
  <sheetData>
    <row r="1" spans="1:9">
      <c r="I1" s="3" t="s">
        <v>197</v>
      </c>
    </row>
    <row r="2" spans="1:9" ht="39.75" customHeight="1">
      <c r="A2" s="427" t="s">
        <v>70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81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54.75" customHeight="1">
      <c r="A5" s="426" t="s">
        <v>199</v>
      </c>
      <c r="B5" s="426"/>
      <c r="C5" s="180"/>
      <c r="D5" s="64">
        <f>E13</f>
        <v>7892265</v>
      </c>
      <c r="E5" s="65" t="s">
        <v>57</v>
      </c>
      <c r="F5" s="428" t="s">
        <v>418</v>
      </c>
      <c r="G5" s="429"/>
      <c r="H5" s="429"/>
      <c r="I5" s="430"/>
    </row>
    <row r="6" spans="1:9" ht="54.75" customHeight="1">
      <c r="A6" s="426" t="s">
        <v>71</v>
      </c>
      <c r="B6" s="426"/>
      <c r="C6" s="177"/>
      <c r="D6" s="64">
        <f>E14</f>
        <v>8197973</v>
      </c>
      <c r="E6" s="65" t="s">
        <v>57</v>
      </c>
      <c r="F6" s="431"/>
      <c r="G6" s="432"/>
      <c r="H6" s="432"/>
      <c r="I6" s="433"/>
    </row>
    <row r="7" spans="1:9" ht="54.75" customHeight="1">
      <c r="A7" s="426" t="s">
        <v>103</v>
      </c>
      <c r="B7" s="426"/>
      <c r="C7" s="177"/>
      <c r="D7" s="64">
        <f>E15</f>
        <v>8540993</v>
      </c>
      <c r="E7" s="65" t="s">
        <v>57</v>
      </c>
      <c r="F7" s="431"/>
      <c r="G7" s="432"/>
      <c r="H7" s="432"/>
      <c r="I7" s="433"/>
    </row>
    <row r="8" spans="1:9" ht="54.75" customHeight="1">
      <c r="A8" s="426" t="s">
        <v>200</v>
      </c>
      <c r="B8" s="426"/>
      <c r="C8" s="177"/>
      <c r="D8" s="64">
        <f>E16</f>
        <v>8896720</v>
      </c>
      <c r="E8" s="65" t="s">
        <v>57</v>
      </c>
      <c r="F8" s="434"/>
      <c r="G8" s="435"/>
      <c r="H8" s="435"/>
      <c r="I8" s="436"/>
    </row>
    <row r="9" spans="1:9" ht="9.75" customHeight="1">
      <c r="A9" s="69"/>
      <c r="B9" s="68"/>
      <c r="C9" s="73"/>
      <c r="D9" s="73"/>
      <c r="E9" s="73"/>
      <c r="F9" s="73"/>
      <c r="G9" s="73"/>
      <c r="H9" s="73"/>
      <c r="I9" s="67"/>
    </row>
    <row r="10" spans="1:9" ht="37.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54.7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54.7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102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7892265</v>
      </c>
      <c r="F13" s="182" t="s">
        <v>18</v>
      </c>
      <c r="G13" s="184"/>
      <c r="H13" s="184"/>
      <c r="I13" s="183" t="s">
        <v>420</v>
      </c>
    </row>
    <row r="14" spans="1:9" ht="54.7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8197973</v>
      </c>
      <c r="F14" s="182" t="s">
        <v>18</v>
      </c>
      <c r="G14" s="59"/>
      <c r="H14" s="59"/>
      <c r="I14" s="422" t="s">
        <v>421</v>
      </c>
    </row>
    <row r="15" spans="1:9" ht="54.75" customHeight="1">
      <c r="A15" s="185">
        <v>3</v>
      </c>
      <c r="B15" s="416"/>
      <c r="C15" s="414"/>
      <c r="D15" s="348" t="s">
        <v>102</v>
      </c>
      <c r="E15" s="176">
        <v>8540993</v>
      </c>
      <c r="F15" s="182" t="s">
        <v>18</v>
      </c>
      <c r="G15" s="59"/>
      <c r="H15" s="59"/>
      <c r="I15" s="423"/>
    </row>
    <row r="16" spans="1:9" ht="83.25" customHeight="1">
      <c r="A16" s="185">
        <v>4</v>
      </c>
      <c r="B16" s="417"/>
      <c r="C16" s="356"/>
      <c r="D16" s="348" t="s">
        <v>198</v>
      </c>
      <c r="E16" s="176">
        <v>8896720</v>
      </c>
      <c r="F16" s="182" t="s">
        <v>18</v>
      </c>
      <c r="G16" s="59"/>
      <c r="H16" s="59"/>
      <c r="I16" s="424"/>
    </row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1" orientation="landscape" horizontalDpi="4294967294" verticalDpi="4294967294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92D050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4" customWidth="1"/>
    <col min="5" max="6" width="12.85546875" customWidth="1"/>
    <col min="7" max="7" width="17.42578125" customWidth="1"/>
    <col min="8" max="8" width="18.42578125" customWidth="1"/>
    <col min="9" max="9" width="38.7109375" customWidth="1"/>
  </cols>
  <sheetData>
    <row r="1" spans="1:9">
      <c r="I1" s="3" t="s">
        <v>60</v>
      </c>
    </row>
    <row r="2" spans="1:9" ht="39.75" customHeight="1">
      <c r="A2" s="427" t="s">
        <v>82</v>
      </c>
      <c r="B2" s="427"/>
      <c r="C2" s="427"/>
      <c r="D2" s="427"/>
      <c r="E2" s="427"/>
      <c r="F2" s="427"/>
      <c r="G2" s="427"/>
      <c r="H2" s="427"/>
      <c r="I2" s="427"/>
    </row>
    <row r="3" spans="1:9" ht="45" customHeight="1">
      <c r="A3" s="58" t="s">
        <v>45</v>
      </c>
      <c r="B3" s="78" t="s">
        <v>83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38.25" customHeight="1">
      <c r="A5" s="426" t="s">
        <v>199</v>
      </c>
      <c r="B5" s="426"/>
      <c r="C5" s="180"/>
      <c r="D5" s="64">
        <f>E13</f>
        <v>-748883</v>
      </c>
      <c r="E5" s="65" t="s">
        <v>57</v>
      </c>
      <c r="F5" s="428" t="s">
        <v>418</v>
      </c>
      <c r="G5" s="429"/>
      <c r="H5" s="429"/>
      <c r="I5" s="430"/>
    </row>
    <row r="6" spans="1:9" ht="38.25" customHeight="1">
      <c r="A6" s="426" t="s">
        <v>71</v>
      </c>
      <c r="B6" s="426"/>
      <c r="C6" s="177"/>
      <c r="D6" s="64">
        <f>E14</f>
        <v>-605696</v>
      </c>
      <c r="E6" s="65" t="s">
        <v>57</v>
      </c>
      <c r="F6" s="431"/>
      <c r="G6" s="432"/>
      <c r="H6" s="432"/>
      <c r="I6" s="433"/>
    </row>
    <row r="7" spans="1:9" ht="38.25" customHeight="1">
      <c r="A7" s="426" t="s">
        <v>103</v>
      </c>
      <c r="B7" s="426"/>
      <c r="C7" s="177"/>
      <c r="D7" s="64">
        <f>E15</f>
        <v>-606853</v>
      </c>
      <c r="E7" s="65" t="s">
        <v>57</v>
      </c>
      <c r="F7" s="431"/>
      <c r="G7" s="432"/>
      <c r="H7" s="432"/>
      <c r="I7" s="433"/>
    </row>
    <row r="8" spans="1:9" ht="38.25" customHeight="1">
      <c r="A8" s="426" t="s">
        <v>200</v>
      </c>
      <c r="B8" s="426"/>
      <c r="C8" s="177"/>
      <c r="D8" s="64">
        <f>E16</f>
        <v>-606876</v>
      </c>
      <c r="E8" s="65" t="s">
        <v>57</v>
      </c>
      <c r="F8" s="434"/>
      <c r="G8" s="435"/>
      <c r="H8" s="435"/>
      <c r="I8" s="436"/>
    </row>
    <row r="9" spans="1:9" ht="10.5" customHeight="1">
      <c r="A9" s="69"/>
      <c r="B9" s="68"/>
      <c r="C9" s="73"/>
      <c r="D9" s="73"/>
      <c r="E9" s="73"/>
      <c r="F9" s="73"/>
      <c r="G9" s="73"/>
      <c r="H9" s="73"/>
      <c r="I9" s="67"/>
    </row>
    <row r="10" spans="1:9" ht="38.2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38.2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38.2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105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-748883</v>
      </c>
      <c r="F13" s="182" t="s">
        <v>18</v>
      </c>
      <c r="G13" s="184"/>
      <c r="H13" s="184"/>
      <c r="I13" s="183" t="s">
        <v>420</v>
      </c>
    </row>
    <row r="14" spans="1:9" ht="52.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-605696</v>
      </c>
      <c r="F14" s="182" t="s">
        <v>18</v>
      </c>
      <c r="G14" s="59"/>
      <c r="H14" s="59"/>
      <c r="I14" s="422" t="s">
        <v>421</v>
      </c>
    </row>
    <row r="15" spans="1:9" ht="69.75" customHeight="1">
      <c r="A15" s="185">
        <v>3</v>
      </c>
      <c r="B15" s="416"/>
      <c r="C15" s="414"/>
      <c r="D15" s="348" t="s">
        <v>102</v>
      </c>
      <c r="E15" s="176">
        <v>-606853</v>
      </c>
      <c r="F15" s="182" t="s">
        <v>18</v>
      </c>
      <c r="G15" s="59"/>
      <c r="H15" s="59"/>
      <c r="I15" s="423"/>
    </row>
    <row r="16" spans="1:9" ht="69.75" customHeight="1">
      <c r="A16" s="185">
        <v>4</v>
      </c>
      <c r="B16" s="417"/>
      <c r="C16" s="356"/>
      <c r="D16" s="348" t="s">
        <v>198</v>
      </c>
      <c r="E16" s="176">
        <v>-606876</v>
      </c>
      <c r="F16" s="182" t="s">
        <v>18</v>
      </c>
      <c r="G16" s="59"/>
      <c r="H16" s="59"/>
      <c r="I16" s="424"/>
    </row>
  </sheetData>
  <mergeCells count="18">
    <mergeCell ref="A2:I2"/>
    <mergeCell ref="A5:B5"/>
    <mergeCell ref="F5:I8"/>
    <mergeCell ref="A6:B6"/>
    <mergeCell ref="A7:B7"/>
    <mergeCell ref="I14:I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6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I29"/>
  <sheetViews>
    <sheetView view="pageBreakPreview" zoomScale="60" zoomScaleNormal="100" workbookViewId="0">
      <selection activeCell="A3" sqref="A3:G3"/>
    </sheetView>
  </sheetViews>
  <sheetFormatPr defaultRowHeight="15"/>
  <cols>
    <col min="1" max="1" width="7.5703125" style="92" customWidth="1"/>
    <col min="2" max="2" width="28.5703125" style="92" customWidth="1"/>
    <col min="3" max="3" width="21.28515625" style="93" customWidth="1"/>
    <col min="4" max="4" width="19.7109375" style="206" customWidth="1"/>
    <col min="5" max="5" width="23.85546875" style="206" customWidth="1"/>
    <col min="6" max="6" width="24.140625" style="207" customWidth="1"/>
    <col min="7" max="7" width="23.28515625" style="207" customWidth="1"/>
    <col min="8" max="8" width="23.140625" style="207" customWidth="1"/>
    <col min="9" max="9" width="22.7109375" style="92" customWidth="1"/>
    <col min="10" max="236" width="10.42578125" style="92" customWidth="1"/>
    <col min="237" max="246" width="9.140625" style="92"/>
    <col min="247" max="247" width="52.42578125" style="92" customWidth="1"/>
    <col min="248" max="248" width="10" style="92" customWidth="1"/>
    <col min="249" max="249" width="10.42578125" style="92" customWidth="1"/>
    <col min="250" max="250" width="13.85546875" style="92" customWidth="1"/>
    <col min="251" max="251" width="12.42578125" style="92" customWidth="1"/>
    <col min="252" max="252" width="13.140625" style="92" customWidth="1"/>
    <col min="253" max="253" width="12.42578125" style="92" customWidth="1"/>
    <col min="254" max="254" width="14.42578125" style="92" customWidth="1"/>
    <col min="255" max="255" width="12.42578125" style="92" customWidth="1"/>
    <col min="256" max="256" width="12" style="92" customWidth="1"/>
    <col min="257" max="257" width="11.7109375" style="92" customWidth="1"/>
    <col min="258" max="258" width="13.85546875" style="92" customWidth="1"/>
    <col min="259" max="492" width="10.42578125" style="92" customWidth="1"/>
    <col min="493" max="502" width="9.140625" style="92"/>
    <col min="503" max="503" width="52.42578125" style="92" customWidth="1"/>
    <col min="504" max="504" width="10" style="92" customWidth="1"/>
    <col min="505" max="505" width="10.42578125" style="92" customWidth="1"/>
    <col min="506" max="506" width="13.85546875" style="92" customWidth="1"/>
    <col min="507" max="507" width="12.42578125" style="92" customWidth="1"/>
    <col min="508" max="508" width="13.140625" style="92" customWidth="1"/>
    <col min="509" max="509" width="12.42578125" style="92" customWidth="1"/>
    <col min="510" max="510" width="14.42578125" style="92" customWidth="1"/>
    <col min="511" max="511" width="12.42578125" style="92" customWidth="1"/>
    <col min="512" max="512" width="12" style="92" customWidth="1"/>
    <col min="513" max="513" width="11.7109375" style="92" customWidth="1"/>
    <col min="514" max="514" width="13.85546875" style="92" customWidth="1"/>
    <col min="515" max="748" width="10.42578125" style="92" customWidth="1"/>
    <col min="749" max="758" width="9.140625" style="92"/>
    <col min="759" max="759" width="52.42578125" style="92" customWidth="1"/>
    <col min="760" max="760" width="10" style="92" customWidth="1"/>
    <col min="761" max="761" width="10.42578125" style="92" customWidth="1"/>
    <col min="762" max="762" width="13.85546875" style="92" customWidth="1"/>
    <col min="763" max="763" width="12.42578125" style="92" customWidth="1"/>
    <col min="764" max="764" width="13.140625" style="92" customWidth="1"/>
    <col min="765" max="765" width="12.42578125" style="92" customWidth="1"/>
    <col min="766" max="766" width="14.42578125" style="92" customWidth="1"/>
    <col min="767" max="767" width="12.42578125" style="92" customWidth="1"/>
    <col min="768" max="768" width="12" style="92" customWidth="1"/>
    <col min="769" max="769" width="11.7109375" style="92" customWidth="1"/>
    <col min="770" max="770" width="13.85546875" style="92" customWidth="1"/>
    <col min="771" max="1004" width="10.42578125" style="92" customWidth="1"/>
    <col min="1005" max="1014" width="9.140625" style="92"/>
    <col min="1015" max="1015" width="52.42578125" style="92" customWidth="1"/>
    <col min="1016" max="1016" width="10" style="92" customWidth="1"/>
    <col min="1017" max="1017" width="10.42578125" style="92" customWidth="1"/>
    <col min="1018" max="1018" width="13.85546875" style="92" customWidth="1"/>
    <col min="1019" max="1019" width="12.42578125" style="92" customWidth="1"/>
    <col min="1020" max="1020" width="13.140625" style="92" customWidth="1"/>
    <col min="1021" max="1021" width="12.42578125" style="92" customWidth="1"/>
    <col min="1022" max="1022" width="14.42578125" style="92" customWidth="1"/>
    <col min="1023" max="1023" width="12.42578125" style="92" customWidth="1"/>
    <col min="1024" max="1024" width="12" style="92" customWidth="1"/>
    <col min="1025" max="1025" width="11.7109375" style="92" customWidth="1"/>
    <col min="1026" max="1026" width="13.85546875" style="92" customWidth="1"/>
    <col min="1027" max="1260" width="10.42578125" style="92" customWidth="1"/>
    <col min="1261" max="1270" width="9.140625" style="92"/>
    <col min="1271" max="1271" width="52.42578125" style="92" customWidth="1"/>
    <col min="1272" max="1272" width="10" style="92" customWidth="1"/>
    <col min="1273" max="1273" width="10.42578125" style="92" customWidth="1"/>
    <col min="1274" max="1274" width="13.85546875" style="92" customWidth="1"/>
    <col min="1275" max="1275" width="12.42578125" style="92" customWidth="1"/>
    <col min="1276" max="1276" width="13.140625" style="92" customWidth="1"/>
    <col min="1277" max="1277" width="12.42578125" style="92" customWidth="1"/>
    <col min="1278" max="1278" width="14.42578125" style="92" customWidth="1"/>
    <col min="1279" max="1279" width="12.42578125" style="92" customWidth="1"/>
    <col min="1280" max="1280" width="12" style="92" customWidth="1"/>
    <col min="1281" max="1281" width="11.7109375" style="92" customWidth="1"/>
    <col min="1282" max="1282" width="13.85546875" style="92" customWidth="1"/>
    <col min="1283" max="1516" width="10.42578125" style="92" customWidth="1"/>
    <col min="1517" max="1526" width="9.140625" style="92"/>
    <col min="1527" max="1527" width="52.42578125" style="92" customWidth="1"/>
    <col min="1528" max="1528" width="10" style="92" customWidth="1"/>
    <col min="1529" max="1529" width="10.42578125" style="92" customWidth="1"/>
    <col min="1530" max="1530" width="13.85546875" style="92" customWidth="1"/>
    <col min="1531" max="1531" width="12.42578125" style="92" customWidth="1"/>
    <col min="1532" max="1532" width="13.140625" style="92" customWidth="1"/>
    <col min="1533" max="1533" width="12.42578125" style="92" customWidth="1"/>
    <col min="1534" max="1534" width="14.42578125" style="92" customWidth="1"/>
    <col min="1535" max="1535" width="12.42578125" style="92" customWidth="1"/>
    <col min="1536" max="1536" width="12" style="92" customWidth="1"/>
    <col min="1537" max="1537" width="11.7109375" style="92" customWidth="1"/>
    <col min="1538" max="1538" width="13.85546875" style="92" customWidth="1"/>
    <col min="1539" max="1772" width="10.42578125" style="92" customWidth="1"/>
    <col min="1773" max="1782" width="9.140625" style="92"/>
    <col min="1783" max="1783" width="52.42578125" style="92" customWidth="1"/>
    <col min="1784" max="1784" width="10" style="92" customWidth="1"/>
    <col min="1785" max="1785" width="10.42578125" style="92" customWidth="1"/>
    <col min="1786" max="1786" width="13.85546875" style="92" customWidth="1"/>
    <col min="1787" max="1787" width="12.42578125" style="92" customWidth="1"/>
    <col min="1788" max="1788" width="13.140625" style="92" customWidth="1"/>
    <col min="1789" max="1789" width="12.42578125" style="92" customWidth="1"/>
    <col min="1790" max="1790" width="14.42578125" style="92" customWidth="1"/>
    <col min="1791" max="1791" width="12.42578125" style="92" customWidth="1"/>
    <col min="1792" max="1792" width="12" style="92" customWidth="1"/>
    <col min="1793" max="1793" width="11.7109375" style="92" customWidth="1"/>
    <col min="1794" max="1794" width="13.85546875" style="92" customWidth="1"/>
    <col min="1795" max="2028" width="10.42578125" style="92" customWidth="1"/>
    <col min="2029" max="2038" width="9.140625" style="92"/>
    <col min="2039" max="2039" width="52.42578125" style="92" customWidth="1"/>
    <col min="2040" max="2040" width="10" style="92" customWidth="1"/>
    <col min="2041" max="2041" width="10.42578125" style="92" customWidth="1"/>
    <col min="2042" max="2042" width="13.85546875" style="92" customWidth="1"/>
    <col min="2043" max="2043" width="12.42578125" style="92" customWidth="1"/>
    <col min="2044" max="2044" width="13.140625" style="92" customWidth="1"/>
    <col min="2045" max="2045" width="12.42578125" style="92" customWidth="1"/>
    <col min="2046" max="2046" width="14.42578125" style="92" customWidth="1"/>
    <col min="2047" max="2047" width="12.42578125" style="92" customWidth="1"/>
    <col min="2048" max="2048" width="12" style="92" customWidth="1"/>
    <col min="2049" max="2049" width="11.7109375" style="92" customWidth="1"/>
    <col min="2050" max="2050" width="13.85546875" style="92" customWidth="1"/>
    <col min="2051" max="2284" width="10.42578125" style="92" customWidth="1"/>
    <col min="2285" max="2294" width="9.140625" style="92"/>
    <col min="2295" max="2295" width="52.42578125" style="92" customWidth="1"/>
    <col min="2296" max="2296" width="10" style="92" customWidth="1"/>
    <col min="2297" max="2297" width="10.42578125" style="92" customWidth="1"/>
    <col min="2298" max="2298" width="13.85546875" style="92" customWidth="1"/>
    <col min="2299" max="2299" width="12.42578125" style="92" customWidth="1"/>
    <col min="2300" max="2300" width="13.140625" style="92" customWidth="1"/>
    <col min="2301" max="2301" width="12.42578125" style="92" customWidth="1"/>
    <col min="2302" max="2302" width="14.42578125" style="92" customWidth="1"/>
    <col min="2303" max="2303" width="12.42578125" style="92" customWidth="1"/>
    <col min="2304" max="2304" width="12" style="92" customWidth="1"/>
    <col min="2305" max="2305" width="11.7109375" style="92" customWidth="1"/>
    <col min="2306" max="2306" width="13.85546875" style="92" customWidth="1"/>
    <col min="2307" max="2540" width="10.42578125" style="92" customWidth="1"/>
    <col min="2541" max="2550" width="9.140625" style="92"/>
    <col min="2551" max="2551" width="52.42578125" style="92" customWidth="1"/>
    <col min="2552" max="2552" width="10" style="92" customWidth="1"/>
    <col min="2553" max="2553" width="10.42578125" style="92" customWidth="1"/>
    <col min="2554" max="2554" width="13.85546875" style="92" customWidth="1"/>
    <col min="2555" max="2555" width="12.42578125" style="92" customWidth="1"/>
    <col min="2556" max="2556" width="13.140625" style="92" customWidth="1"/>
    <col min="2557" max="2557" width="12.42578125" style="92" customWidth="1"/>
    <col min="2558" max="2558" width="14.42578125" style="92" customWidth="1"/>
    <col min="2559" max="2559" width="12.42578125" style="92" customWidth="1"/>
    <col min="2560" max="2560" width="12" style="92" customWidth="1"/>
    <col min="2561" max="2561" width="11.7109375" style="92" customWidth="1"/>
    <col min="2562" max="2562" width="13.85546875" style="92" customWidth="1"/>
    <col min="2563" max="2796" width="10.42578125" style="92" customWidth="1"/>
    <col min="2797" max="2806" width="9.140625" style="92"/>
    <col min="2807" max="2807" width="52.42578125" style="92" customWidth="1"/>
    <col min="2808" max="2808" width="10" style="92" customWidth="1"/>
    <col min="2809" max="2809" width="10.42578125" style="92" customWidth="1"/>
    <col min="2810" max="2810" width="13.85546875" style="92" customWidth="1"/>
    <col min="2811" max="2811" width="12.42578125" style="92" customWidth="1"/>
    <col min="2812" max="2812" width="13.140625" style="92" customWidth="1"/>
    <col min="2813" max="2813" width="12.42578125" style="92" customWidth="1"/>
    <col min="2814" max="2814" width="14.42578125" style="92" customWidth="1"/>
    <col min="2815" max="2815" width="12.42578125" style="92" customWidth="1"/>
    <col min="2816" max="2816" width="12" style="92" customWidth="1"/>
    <col min="2817" max="2817" width="11.7109375" style="92" customWidth="1"/>
    <col min="2818" max="2818" width="13.85546875" style="92" customWidth="1"/>
    <col min="2819" max="3052" width="10.42578125" style="92" customWidth="1"/>
    <col min="3053" max="3062" width="9.140625" style="92"/>
    <col min="3063" max="3063" width="52.42578125" style="92" customWidth="1"/>
    <col min="3064" max="3064" width="10" style="92" customWidth="1"/>
    <col min="3065" max="3065" width="10.42578125" style="92" customWidth="1"/>
    <col min="3066" max="3066" width="13.85546875" style="92" customWidth="1"/>
    <col min="3067" max="3067" width="12.42578125" style="92" customWidth="1"/>
    <col min="3068" max="3068" width="13.140625" style="92" customWidth="1"/>
    <col min="3069" max="3069" width="12.42578125" style="92" customWidth="1"/>
    <col min="3070" max="3070" width="14.42578125" style="92" customWidth="1"/>
    <col min="3071" max="3071" width="12.42578125" style="92" customWidth="1"/>
    <col min="3072" max="3072" width="12" style="92" customWidth="1"/>
    <col min="3073" max="3073" width="11.7109375" style="92" customWidth="1"/>
    <col min="3074" max="3074" width="13.85546875" style="92" customWidth="1"/>
    <col min="3075" max="3308" width="10.42578125" style="92" customWidth="1"/>
    <col min="3309" max="3318" width="9.140625" style="92"/>
    <col min="3319" max="3319" width="52.42578125" style="92" customWidth="1"/>
    <col min="3320" max="3320" width="10" style="92" customWidth="1"/>
    <col min="3321" max="3321" width="10.42578125" style="92" customWidth="1"/>
    <col min="3322" max="3322" width="13.85546875" style="92" customWidth="1"/>
    <col min="3323" max="3323" width="12.42578125" style="92" customWidth="1"/>
    <col min="3324" max="3324" width="13.140625" style="92" customWidth="1"/>
    <col min="3325" max="3325" width="12.42578125" style="92" customWidth="1"/>
    <col min="3326" max="3326" width="14.42578125" style="92" customWidth="1"/>
    <col min="3327" max="3327" width="12.42578125" style="92" customWidth="1"/>
    <col min="3328" max="3328" width="12" style="92" customWidth="1"/>
    <col min="3329" max="3329" width="11.7109375" style="92" customWidth="1"/>
    <col min="3330" max="3330" width="13.85546875" style="92" customWidth="1"/>
    <col min="3331" max="3564" width="10.42578125" style="92" customWidth="1"/>
    <col min="3565" max="3574" width="9.140625" style="92"/>
    <col min="3575" max="3575" width="52.42578125" style="92" customWidth="1"/>
    <col min="3576" max="3576" width="10" style="92" customWidth="1"/>
    <col min="3577" max="3577" width="10.42578125" style="92" customWidth="1"/>
    <col min="3578" max="3578" width="13.85546875" style="92" customWidth="1"/>
    <col min="3579" max="3579" width="12.42578125" style="92" customWidth="1"/>
    <col min="3580" max="3580" width="13.140625" style="92" customWidth="1"/>
    <col min="3581" max="3581" width="12.42578125" style="92" customWidth="1"/>
    <col min="3582" max="3582" width="14.42578125" style="92" customWidth="1"/>
    <col min="3583" max="3583" width="12.42578125" style="92" customWidth="1"/>
    <col min="3584" max="3584" width="12" style="92" customWidth="1"/>
    <col min="3585" max="3585" width="11.7109375" style="92" customWidth="1"/>
    <col min="3586" max="3586" width="13.85546875" style="92" customWidth="1"/>
    <col min="3587" max="3820" width="10.42578125" style="92" customWidth="1"/>
    <col min="3821" max="3830" width="9.140625" style="92"/>
    <col min="3831" max="3831" width="52.42578125" style="92" customWidth="1"/>
    <col min="3832" max="3832" width="10" style="92" customWidth="1"/>
    <col min="3833" max="3833" width="10.42578125" style="92" customWidth="1"/>
    <col min="3834" max="3834" width="13.85546875" style="92" customWidth="1"/>
    <col min="3835" max="3835" width="12.42578125" style="92" customWidth="1"/>
    <col min="3836" max="3836" width="13.140625" style="92" customWidth="1"/>
    <col min="3837" max="3837" width="12.42578125" style="92" customWidth="1"/>
    <col min="3838" max="3838" width="14.42578125" style="92" customWidth="1"/>
    <col min="3839" max="3839" width="12.42578125" style="92" customWidth="1"/>
    <col min="3840" max="3840" width="12" style="92" customWidth="1"/>
    <col min="3841" max="3841" width="11.7109375" style="92" customWidth="1"/>
    <col min="3842" max="3842" width="13.85546875" style="92" customWidth="1"/>
    <col min="3843" max="4076" width="10.42578125" style="92" customWidth="1"/>
    <col min="4077" max="4086" width="9.140625" style="92"/>
    <col min="4087" max="4087" width="52.42578125" style="92" customWidth="1"/>
    <col min="4088" max="4088" width="10" style="92" customWidth="1"/>
    <col min="4089" max="4089" width="10.42578125" style="92" customWidth="1"/>
    <col min="4090" max="4090" width="13.85546875" style="92" customWidth="1"/>
    <col min="4091" max="4091" width="12.42578125" style="92" customWidth="1"/>
    <col min="4092" max="4092" width="13.140625" style="92" customWidth="1"/>
    <col min="4093" max="4093" width="12.42578125" style="92" customWidth="1"/>
    <col min="4094" max="4094" width="14.42578125" style="92" customWidth="1"/>
    <col min="4095" max="4095" width="12.42578125" style="92" customWidth="1"/>
    <col min="4096" max="4096" width="12" style="92" customWidth="1"/>
    <col min="4097" max="4097" width="11.7109375" style="92" customWidth="1"/>
    <col min="4098" max="4098" width="13.85546875" style="92" customWidth="1"/>
    <col min="4099" max="4332" width="10.42578125" style="92" customWidth="1"/>
    <col min="4333" max="4342" width="9.140625" style="92"/>
    <col min="4343" max="4343" width="52.42578125" style="92" customWidth="1"/>
    <col min="4344" max="4344" width="10" style="92" customWidth="1"/>
    <col min="4345" max="4345" width="10.42578125" style="92" customWidth="1"/>
    <col min="4346" max="4346" width="13.85546875" style="92" customWidth="1"/>
    <col min="4347" max="4347" width="12.42578125" style="92" customWidth="1"/>
    <col min="4348" max="4348" width="13.140625" style="92" customWidth="1"/>
    <col min="4349" max="4349" width="12.42578125" style="92" customWidth="1"/>
    <col min="4350" max="4350" width="14.42578125" style="92" customWidth="1"/>
    <col min="4351" max="4351" width="12.42578125" style="92" customWidth="1"/>
    <col min="4352" max="4352" width="12" style="92" customWidth="1"/>
    <col min="4353" max="4353" width="11.7109375" style="92" customWidth="1"/>
    <col min="4354" max="4354" width="13.85546875" style="92" customWidth="1"/>
    <col min="4355" max="4588" width="10.42578125" style="92" customWidth="1"/>
    <col min="4589" max="4598" width="9.140625" style="92"/>
    <col min="4599" max="4599" width="52.42578125" style="92" customWidth="1"/>
    <col min="4600" max="4600" width="10" style="92" customWidth="1"/>
    <col min="4601" max="4601" width="10.42578125" style="92" customWidth="1"/>
    <col min="4602" max="4602" width="13.85546875" style="92" customWidth="1"/>
    <col min="4603" max="4603" width="12.42578125" style="92" customWidth="1"/>
    <col min="4604" max="4604" width="13.140625" style="92" customWidth="1"/>
    <col min="4605" max="4605" width="12.42578125" style="92" customWidth="1"/>
    <col min="4606" max="4606" width="14.42578125" style="92" customWidth="1"/>
    <col min="4607" max="4607" width="12.42578125" style="92" customWidth="1"/>
    <col min="4608" max="4608" width="12" style="92" customWidth="1"/>
    <col min="4609" max="4609" width="11.7109375" style="92" customWidth="1"/>
    <col min="4610" max="4610" width="13.85546875" style="92" customWidth="1"/>
    <col min="4611" max="4844" width="10.42578125" style="92" customWidth="1"/>
    <col min="4845" max="4854" width="9.140625" style="92"/>
    <col min="4855" max="4855" width="52.42578125" style="92" customWidth="1"/>
    <col min="4856" max="4856" width="10" style="92" customWidth="1"/>
    <col min="4857" max="4857" width="10.42578125" style="92" customWidth="1"/>
    <col min="4858" max="4858" width="13.85546875" style="92" customWidth="1"/>
    <col min="4859" max="4859" width="12.42578125" style="92" customWidth="1"/>
    <col min="4860" max="4860" width="13.140625" style="92" customWidth="1"/>
    <col min="4861" max="4861" width="12.42578125" style="92" customWidth="1"/>
    <col min="4862" max="4862" width="14.42578125" style="92" customWidth="1"/>
    <col min="4863" max="4863" width="12.42578125" style="92" customWidth="1"/>
    <col min="4864" max="4864" width="12" style="92" customWidth="1"/>
    <col min="4865" max="4865" width="11.7109375" style="92" customWidth="1"/>
    <col min="4866" max="4866" width="13.85546875" style="92" customWidth="1"/>
    <col min="4867" max="5100" width="10.42578125" style="92" customWidth="1"/>
    <col min="5101" max="5110" width="9.140625" style="92"/>
    <col min="5111" max="5111" width="52.42578125" style="92" customWidth="1"/>
    <col min="5112" max="5112" width="10" style="92" customWidth="1"/>
    <col min="5113" max="5113" width="10.42578125" style="92" customWidth="1"/>
    <col min="5114" max="5114" width="13.85546875" style="92" customWidth="1"/>
    <col min="5115" max="5115" width="12.42578125" style="92" customWidth="1"/>
    <col min="5116" max="5116" width="13.140625" style="92" customWidth="1"/>
    <col min="5117" max="5117" width="12.42578125" style="92" customWidth="1"/>
    <col min="5118" max="5118" width="14.42578125" style="92" customWidth="1"/>
    <col min="5119" max="5119" width="12.42578125" style="92" customWidth="1"/>
    <col min="5120" max="5120" width="12" style="92" customWidth="1"/>
    <col min="5121" max="5121" width="11.7109375" style="92" customWidth="1"/>
    <col min="5122" max="5122" width="13.85546875" style="92" customWidth="1"/>
    <col min="5123" max="5356" width="10.42578125" style="92" customWidth="1"/>
    <col min="5357" max="5366" width="9.140625" style="92"/>
    <col min="5367" max="5367" width="52.42578125" style="92" customWidth="1"/>
    <col min="5368" max="5368" width="10" style="92" customWidth="1"/>
    <col min="5369" max="5369" width="10.42578125" style="92" customWidth="1"/>
    <col min="5370" max="5370" width="13.85546875" style="92" customWidth="1"/>
    <col min="5371" max="5371" width="12.42578125" style="92" customWidth="1"/>
    <col min="5372" max="5372" width="13.140625" style="92" customWidth="1"/>
    <col min="5373" max="5373" width="12.42578125" style="92" customWidth="1"/>
    <col min="5374" max="5374" width="14.42578125" style="92" customWidth="1"/>
    <col min="5375" max="5375" width="12.42578125" style="92" customWidth="1"/>
    <col min="5376" max="5376" width="12" style="92" customWidth="1"/>
    <col min="5377" max="5377" width="11.7109375" style="92" customWidth="1"/>
    <col min="5378" max="5378" width="13.85546875" style="92" customWidth="1"/>
    <col min="5379" max="5612" width="10.42578125" style="92" customWidth="1"/>
    <col min="5613" max="5622" width="9.140625" style="92"/>
    <col min="5623" max="5623" width="52.42578125" style="92" customWidth="1"/>
    <col min="5624" max="5624" width="10" style="92" customWidth="1"/>
    <col min="5625" max="5625" width="10.42578125" style="92" customWidth="1"/>
    <col min="5626" max="5626" width="13.85546875" style="92" customWidth="1"/>
    <col min="5627" max="5627" width="12.42578125" style="92" customWidth="1"/>
    <col min="5628" max="5628" width="13.140625" style="92" customWidth="1"/>
    <col min="5629" max="5629" width="12.42578125" style="92" customWidth="1"/>
    <col min="5630" max="5630" width="14.42578125" style="92" customWidth="1"/>
    <col min="5631" max="5631" width="12.42578125" style="92" customWidth="1"/>
    <col min="5632" max="5632" width="12" style="92" customWidth="1"/>
    <col min="5633" max="5633" width="11.7109375" style="92" customWidth="1"/>
    <col min="5634" max="5634" width="13.85546875" style="92" customWidth="1"/>
    <col min="5635" max="5868" width="10.42578125" style="92" customWidth="1"/>
    <col min="5869" max="5878" width="9.140625" style="92"/>
    <col min="5879" max="5879" width="52.42578125" style="92" customWidth="1"/>
    <col min="5880" max="5880" width="10" style="92" customWidth="1"/>
    <col min="5881" max="5881" width="10.42578125" style="92" customWidth="1"/>
    <col min="5882" max="5882" width="13.85546875" style="92" customWidth="1"/>
    <col min="5883" max="5883" width="12.42578125" style="92" customWidth="1"/>
    <col min="5884" max="5884" width="13.140625" style="92" customWidth="1"/>
    <col min="5885" max="5885" width="12.42578125" style="92" customWidth="1"/>
    <col min="5886" max="5886" width="14.42578125" style="92" customWidth="1"/>
    <col min="5887" max="5887" width="12.42578125" style="92" customWidth="1"/>
    <col min="5888" max="5888" width="12" style="92" customWidth="1"/>
    <col min="5889" max="5889" width="11.7109375" style="92" customWidth="1"/>
    <col min="5890" max="5890" width="13.85546875" style="92" customWidth="1"/>
    <col min="5891" max="6124" width="10.42578125" style="92" customWidth="1"/>
    <col min="6125" max="6134" width="9.140625" style="92"/>
    <col min="6135" max="6135" width="52.42578125" style="92" customWidth="1"/>
    <col min="6136" max="6136" width="10" style="92" customWidth="1"/>
    <col min="6137" max="6137" width="10.42578125" style="92" customWidth="1"/>
    <col min="6138" max="6138" width="13.85546875" style="92" customWidth="1"/>
    <col min="6139" max="6139" width="12.42578125" style="92" customWidth="1"/>
    <col min="6140" max="6140" width="13.140625" style="92" customWidth="1"/>
    <col min="6141" max="6141" width="12.42578125" style="92" customWidth="1"/>
    <col min="6142" max="6142" width="14.42578125" style="92" customWidth="1"/>
    <col min="6143" max="6143" width="12.42578125" style="92" customWidth="1"/>
    <col min="6144" max="6144" width="12" style="92" customWidth="1"/>
    <col min="6145" max="6145" width="11.7109375" style="92" customWidth="1"/>
    <col min="6146" max="6146" width="13.85546875" style="92" customWidth="1"/>
    <col min="6147" max="6380" width="10.42578125" style="92" customWidth="1"/>
    <col min="6381" max="6390" width="9.140625" style="92"/>
    <col min="6391" max="6391" width="52.42578125" style="92" customWidth="1"/>
    <col min="6392" max="6392" width="10" style="92" customWidth="1"/>
    <col min="6393" max="6393" width="10.42578125" style="92" customWidth="1"/>
    <col min="6394" max="6394" width="13.85546875" style="92" customWidth="1"/>
    <col min="6395" max="6395" width="12.42578125" style="92" customWidth="1"/>
    <col min="6396" max="6396" width="13.140625" style="92" customWidth="1"/>
    <col min="6397" max="6397" width="12.42578125" style="92" customWidth="1"/>
    <col min="6398" max="6398" width="14.42578125" style="92" customWidth="1"/>
    <col min="6399" max="6399" width="12.42578125" style="92" customWidth="1"/>
    <col min="6400" max="6400" width="12" style="92" customWidth="1"/>
    <col min="6401" max="6401" width="11.7109375" style="92" customWidth="1"/>
    <col min="6402" max="6402" width="13.85546875" style="92" customWidth="1"/>
    <col min="6403" max="6636" width="10.42578125" style="92" customWidth="1"/>
    <col min="6637" max="6646" width="9.140625" style="92"/>
    <col min="6647" max="6647" width="52.42578125" style="92" customWidth="1"/>
    <col min="6648" max="6648" width="10" style="92" customWidth="1"/>
    <col min="6649" max="6649" width="10.42578125" style="92" customWidth="1"/>
    <col min="6650" max="6650" width="13.85546875" style="92" customWidth="1"/>
    <col min="6651" max="6651" width="12.42578125" style="92" customWidth="1"/>
    <col min="6652" max="6652" width="13.140625" style="92" customWidth="1"/>
    <col min="6653" max="6653" width="12.42578125" style="92" customWidth="1"/>
    <col min="6654" max="6654" width="14.42578125" style="92" customWidth="1"/>
    <col min="6655" max="6655" width="12.42578125" style="92" customWidth="1"/>
    <col min="6656" max="6656" width="12" style="92" customWidth="1"/>
    <col min="6657" max="6657" width="11.7109375" style="92" customWidth="1"/>
    <col min="6658" max="6658" width="13.85546875" style="92" customWidth="1"/>
    <col min="6659" max="6892" width="10.42578125" style="92" customWidth="1"/>
    <col min="6893" max="6902" width="9.140625" style="92"/>
    <col min="6903" max="6903" width="52.42578125" style="92" customWidth="1"/>
    <col min="6904" max="6904" width="10" style="92" customWidth="1"/>
    <col min="6905" max="6905" width="10.42578125" style="92" customWidth="1"/>
    <col min="6906" max="6906" width="13.85546875" style="92" customWidth="1"/>
    <col min="6907" max="6907" width="12.42578125" style="92" customWidth="1"/>
    <col min="6908" max="6908" width="13.140625" style="92" customWidth="1"/>
    <col min="6909" max="6909" width="12.42578125" style="92" customWidth="1"/>
    <col min="6910" max="6910" width="14.42578125" style="92" customWidth="1"/>
    <col min="6911" max="6911" width="12.42578125" style="92" customWidth="1"/>
    <col min="6912" max="6912" width="12" style="92" customWidth="1"/>
    <col min="6913" max="6913" width="11.7109375" style="92" customWidth="1"/>
    <col min="6914" max="6914" width="13.85546875" style="92" customWidth="1"/>
    <col min="6915" max="7148" width="10.42578125" style="92" customWidth="1"/>
    <col min="7149" max="7158" width="9.140625" style="92"/>
    <col min="7159" max="7159" width="52.42578125" style="92" customWidth="1"/>
    <col min="7160" max="7160" width="10" style="92" customWidth="1"/>
    <col min="7161" max="7161" width="10.42578125" style="92" customWidth="1"/>
    <col min="7162" max="7162" width="13.85546875" style="92" customWidth="1"/>
    <col min="7163" max="7163" width="12.42578125" style="92" customWidth="1"/>
    <col min="7164" max="7164" width="13.140625" style="92" customWidth="1"/>
    <col min="7165" max="7165" width="12.42578125" style="92" customWidth="1"/>
    <col min="7166" max="7166" width="14.42578125" style="92" customWidth="1"/>
    <col min="7167" max="7167" width="12.42578125" style="92" customWidth="1"/>
    <col min="7168" max="7168" width="12" style="92" customWidth="1"/>
    <col min="7169" max="7169" width="11.7109375" style="92" customWidth="1"/>
    <col min="7170" max="7170" width="13.85546875" style="92" customWidth="1"/>
    <col min="7171" max="7404" width="10.42578125" style="92" customWidth="1"/>
    <col min="7405" max="7414" width="9.140625" style="92"/>
    <col min="7415" max="7415" width="52.42578125" style="92" customWidth="1"/>
    <col min="7416" max="7416" width="10" style="92" customWidth="1"/>
    <col min="7417" max="7417" width="10.42578125" style="92" customWidth="1"/>
    <col min="7418" max="7418" width="13.85546875" style="92" customWidth="1"/>
    <col min="7419" max="7419" width="12.42578125" style="92" customWidth="1"/>
    <col min="7420" max="7420" width="13.140625" style="92" customWidth="1"/>
    <col min="7421" max="7421" width="12.42578125" style="92" customWidth="1"/>
    <col min="7422" max="7422" width="14.42578125" style="92" customWidth="1"/>
    <col min="7423" max="7423" width="12.42578125" style="92" customWidth="1"/>
    <col min="7424" max="7424" width="12" style="92" customWidth="1"/>
    <col min="7425" max="7425" width="11.7109375" style="92" customWidth="1"/>
    <col min="7426" max="7426" width="13.85546875" style="92" customWidth="1"/>
    <col min="7427" max="7660" width="10.42578125" style="92" customWidth="1"/>
    <col min="7661" max="7670" width="9.140625" style="92"/>
    <col min="7671" max="7671" width="52.42578125" style="92" customWidth="1"/>
    <col min="7672" max="7672" width="10" style="92" customWidth="1"/>
    <col min="7673" max="7673" width="10.42578125" style="92" customWidth="1"/>
    <col min="7674" max="7674" width="13.85546875" style="92" customWidth="1"/>
    <col min="7675" max="7675" width="12.42578125" style="92" customWidth="1"/>
    <col min="7676" max="7676" width="13.140625" style="92" customWidth="1"/>
    <col min="7677" max="7677" width="12.42578125" style="92" customWidth="1"/>
    <col min="7678" max="7678" width="14.42578125" style="92" customWidth="1"/>
    <col min="7679" max="7679" width="12.42578125" style="92" customWidth="1"/>
    <col min="7680" max="7680" width="12" style="92" customWidth="1"/>
    <col min="7681" max="7681" width="11.7109375" style="92" customWidth="1"/>
    <col min="7682" max="7682" width="13.85546875" style="92" customWidth="1"/>
    <col min="7683" max="7916" width="10.42578125" style="92" customWidth="1"/>
    <col min="7917" max="7926" width="9.140625" style="92"/>
    <col min="7927" max="7927" width="52.42578125" style="92" customWidth="1"/>
    <col min="7928" max="7928" width="10" style="92" customWidth="1"/>
    <col min="7929" max="7929" width="10.42578125" style="92" customWidth="1"/>
    <col min="7930" max="7930" width="13.85546875" style="92" customWidth="1"/>
    <col min="7931" max="7931" width="12.42578125" style="92" customWidth="1"/>
    <col min="7932" max="7932" width="13.140625" style="92" customWidth="1"/>
    <col min="7933" max="7933" width="12.42578125" style="92" customWidth="1"/>
    <col min="7934" max="7934" width="14.42578125" style="92" customWidth="1"/>
    <col min="7935" max="7935" width="12.42578125" style="92" customWidth="1"/>
    <col min="7936" max="7936" width="12" style="92" customWidth="1"/>
    <col min="7937" max="7937" width="11.7109375" style="92" customWidth="1"/>
    <col min="7938" max="7938" width="13.85546875" style="92" customWidth="1"/>
    <col min="7939" max="8172" width="10.42578125" style="92" customWidth="1"/>
    <col min="8173" max="8182" width="9.140625" style="92"/>
    <col min="8183" max="8183" width="52.42578125" style="92" customWidth="1"/>
    <col min="8184" max="8184" width="10" style="92" customWidth="1"/>
    <col min="8185" max="8185" width="10.42578125" style="92" customWidth="1"/>
    <col min="8186" max="8186" width="13.85546875" style="92" customWidth="1"/>
    <col min="8187" max="8187" width="12.42578125" style="92" customWidth="1"/>
    <col min="8188" max="8188" width="13.140625" style="92" customWidth="1"/>
    <col min="8189" max="8189" width="12.42578125" style="92" customWidth="1"/>
    <col min="8190" max="8190" width="14.42578125" style="92" customWidth="1"/>
    <col min="8191" max="8191" width="12.42578125" style="92" customWidth="1"/>
    <col min="8192" max="8192" width="12" style="92" customWidth="1"/>
    <col min="8193" max="8193" width="11.7109375" style="92" customWidth="1"/>
    <col min="8194" max="8194" width="13.85546875" style="92" customWidth="1"/>
    <col min="8195" max="8428" width="10.42578125" style="92" customWidth="1"/>
    <col min="8429" max="8438" width="9.140625" style="92"/>
    <col min="8439" max="8439" width="52.42578125" style="92" customWidth="1"/>
    <col min="8440" max="8440" width="10" style="92" customWidth="1"/>
    <col min="8441" max="8441" width="10.42578125" style="92" customWidth="1"/>
    <col min="8442" max="8442" width="13.85546875" style="92" customWidth="1"/>
    <col min="8443" max="8443" width="12.42578125" style="92" customWidth="1"/>
    <col min="8444" max="8444" width="13.140625" style="92" customWidth="1"/>
    <col min="8445" max="8445" width="12.42578125" style="92" customWidth="1"/>
    <col min="8446" max="8446" width="14.42578125" style="92" customWidth="1"/>
    <col min="8447" max="8447" width="12.42578125" style="92" customWidth="1"/>
    <col min="8448" max="8448" width="12" style="92" customWidth="1"/>
    <col min="8449" max="8449" width="11.7109375" style="92" customWidth="1"/>
    <col min="8450" max="8450" width="13.85546875" style="92" customWidth="1"/>
    <col min="8451" max="8684" width="10.42578125" style="92" customWidth="1"/>
    <col min="8685" max="8694" width="9.140625" style="92"/>
    <col min="8695" max="8695" width="52.42578125" style="92" customWidth="1"/>
    <col min="8696" max="8696" width="10" style="92" customWidth="1"/>
    <col min="8697" max="8697" width="10.42578125" style="92" customWidth="1"/>
    <col min="8698" max="8698" width="13.85546875" style="92" customWidth="1"/>
    <col min="8699" max="8699" width="12.42578125" style="92" customWidth="1"/>
    <col min="8700" max="8700" width="13.140625" style="92" customWidth="1"/>
    <col min="8701" max="8701" width="12.42578125" style="92" customWidth="1"/>
    <col min="8702" max="8702" width="14.42578125" style="92" customWidth="1"/>
    <col min="8703" max="8703" width="12.42578125" style="92" customWidth="1"/>
    <col min="8704" max="8704" width="12" style="92" customWidth="1"/>
    <col min="8705" max="8705" width="11.7109375" style="92" customWidth="1"/>
    <col min="8706" max="8706" width="13.85546875" style="92" customWidth="1"/>
    <col min="8707" max="8940" width="10.42578125" style="92" customWidth="1"/>
    <col min="8941" max="8950" width="9.140625" style="92"/>
    <col min="8951" max="8951" width="52.42578125" style="92" customWidth="1"/>
    <col min="8952" max="8952" width="10" style="92" customWidth="1"/>
    <col min="8953" max="8953" width="10.42578125" style="92" customWidth="1"/>
    <col min="8954" max="8954" width="13.85546875" style="92" customWidth="1"/>
    <col min="8955" max="8955" width="12.42578125" style="92" customWidth="1"/>
    <col min="8956" max="8956" width="13.140625" style="92" customWidth="1"/>
    <col min="8957" max="8957" width="12.42578125" style="92" customWidth="1"/>
    <col min="8958" max="8958" width="14.42578125" style="92" customWidth="1"/>
    <col min="8959" max="8959" width="12.42578125" style="92" customWidth="1"/>
    <col min="8960" max="8960" width="12" style="92" customWidth="1"/>
    <col min="8961" max="8961" width="11.7109375" style="92" customWidth="1"/>
    <col min="8962" max="8962" width="13.85546875" style="92" customWidth="1"/>
    <col min="8963" max="9196" width="10.42578125" style="92" customWidth="1"/>
    <col min="9197" max="9206" width="9.140625" style="92"/>
    <col min="9207" max="9207" width="52.42578125" style="92" customWidth="1"/>
    <col min="9208" max="9208" width="10" style="92" customWidth="1"/>
    <col min="9209" max="9209" width="10.42578125" style="92" customWidth="1"/>
    <col min="9210" max="9210" width="13.85546875" style="92" customWidth="1"/>
    <col min="9211" max="9211" width="12.42578125" style="92" customWidth="1"/>
    <col min="9212" max="9212" width="13.140625" style="92" customWidth="1"/>
    <col min="9213" max="9213" width="12.42578125" style="92" customWidth="1"/>
    <col min="9214" max="9214" width="14.42578125" style="92" customWidth="1"/>
    <col min="9215" max="9215" width="12.42578125" style="92" customWidth="1"/>
    <col min="9216" max="9216" width="12" style="92" customWidth="1"/>
    <col min="9217" max="9217" width="11.7109375" style="92" customWidth="1"/>
    <col min="9218" max="9218" width="13.85546875" style="92" customWidth="1"/>
    <col min="9219" max="9452" width="10.42578125" style="92" customWidth="1"/>
    <col min="9453" max="9462" width="9.140625" style="92"/>
    <col min="9463" max="9463" width="52.42578125" style="92" customWidth="1"/>
    <col min="9464" max="9464" width="10" style="92" customWidth="1"/>
    <col min="9465" max="9465" width="10.42578125" style="92" customWidth="1"/>
    <col min="9466" max="9466" width="13.85546875" style="92" customWidth="1"/>
    <col min="9467" max="9467" width="12.42578125" style="92" customWidth="1"/>
    <col min="9468" max="9468" width="13.140625" style="92" customWidth="1"/>
    <col min="9469" max="9469" width="12.42578125" style="92" customWidth="1"/>
    <col min="9470" max="9470" width="14.42578125" style="92" customWidth="1"/>
    <col min="9471" max="9471" width="12.42578125" style="92" customWidth="1"/>
    <col min="9472" max="9472" width="12" style="92" customWidth="1"/>
    <col min="9473" max="9473" width="11.7109375" style="92" customWidth="1"/>
    <col min="9474" max="9474" width="13.85546875" style="92" customWidth="1"/>
    <col min="9475" max="9708" width="10.42578125" style="92" customWidth="1"/>
    <col min="9709" max="9718" width="9.140625" style="92"/>
    <col min="9719" max="9719" width="52.42578125" style="92" customWidth="1"/>
    <col min="9720" max="9720" width="10" style="92" customWidth="1"/>
    <col min="9721" max="9721" width="10.42578125" style="92" customWidth="1"/>
    <col min="9722" max="9722" width="13.85546875" style="92" customWidth="1"/>
    <col min="9723" max="9723" width="12.42578125" style="92" customWidth="1"/>
    <col min="9724" max="9724" width="13.140625" style="92" customWidth="1"/>
    <col min="9725" max="9725" width="12.42578125" style="92" customWidth="1"/>
    <col min="9726" max="9726" width="14.42578125" style="92" customWidth="1"/>
    <col min="9727" max="9727" width="12.42578125" style="92" customWidth="1"/>
    <col min="9728" max="9728" width="12" style="92" customWidth="1"/>
    <col min="9729" max="9729" width="11.7109375" style="92" customWidth="1"/>
    <col min="9730" max="9730" width="13.85546875" style="92" customWidth="1"/>
    <col min="9731" max="9964" width="10.42578125" style="92" customWidth="1"/>
    <col min="9965" max="9974" width="9.140625" style="92"/>
    <col min="9975" max="9975" width="52.42578125" style="92" customWidth="1"/>
    <col min="9976" max="9976" width="10" style="92" customWidth="1"/>
    <col min="9977" max="9977" width="10.42578125" style="92" customWidth="1"/>
    <col min="9978" max="9978" width="13.85546875" style="92" customWidth="1"/>
    <col min="9979" max="9979" width="12.42578125" style="92" customWidth="1"/>
    <col min="9980" max="9980" width="13.140625" style="92" customWidth="1"/>
    <col min="9981" max="9981" width="12.42578125" style="92" customWidth="1"/>
    <col min="9982" max="9982" width="14.42578125" style="92" customWidth="1"/>
    <col min="9983" max="9983" width="12.42578125" style="92" customWidth="1"/>
    <col min="9984" max="9984" width="12" style="92" customWidth="1"/>
    <col min="9985" max="9985" width="11.7109375" style="92" customWidth="1"/>
    <col min="9986" max="9986" width="13.85546875" style="92" customWidth="1"/>
    <col min="9987" max="10220" width="10.42578125" style="92" customWidth="1"/>
    <col min="10221" max="10230" width="9.140625" style="92"/>
    <col min="10231" max="10231" width="52.42578125" style="92" customWidth="1"/>
    <col min="10232" max="10232" width="10" style="92" customWidth="1"/>
    <col min="10233" max="10233" width="10.42578125" style="92" customWidth="1"/>
    <col min="10234" max="10234" width="13.85546875" style="92" customWidth="1"/>
    <col min="10235" max="10235" width="12.42578125" style="92" customWidth="1"/>
    <col min="10236" max="10236" width="13.140625" style="92" customWidth="1"/>
    <col min="10237" max="10237" width="12.42578125" style="92" customWidth="1"/>
    <col min="10238" max="10238" width="14.42578125" style="92" customWidth="1"/>
    <col min="10239" max="10239" width="12.42578125" style="92" customWidth="1"/>
    <col min="10240" max="10240" width="12" style="92" customWidth="1"/>
    <col min="10241" max="10241" width="11.7109375" style="92" customWidth="1"/>
    <col min="10242" max="10242" width="13.85546875" style="92" customWidth="1"/>
    <col min="10243" max="10476" width="10.42578125" style="92" customWidth="1"/>
    <col min="10477" max="10486" width="9.140625" style="92"/>
    <col min="10487" max="10487" width="52.42578125" style="92" customWidth="1"/>
    <col min="10488" max="10488" width="10" style="92" customWidth="1"/>
    <col min="10489" max="10489" width="10.42578125" style="92" customWidth="1"/>
    <col min="10490" max="10490" width="13.85546875" style="92" customWidth="1"/>
    <col min="10491" max="10491" width="12.42578125" style="92" customWidth="1"/>
    <col min="10492" max="10492" width="13.140625" style="92" customWidth="1"/>
    <col min="10493" max="10493" width="12.42578125" style="92" customWidth="1"/>
    <col min="10494" max="10494" width="14.42578125" style="92" customWidth="1"/>
    <col min="10495" max="10495" width="12.42578125" style="92" customWidth="1"/>
    <col min="10496" max="10496" width="12" style="92" customWidth="1"/>
    <col min="10497" max="10497" width="11.7109375" style="92" customWidth="1"/>
    <col min="10498" max="10498" width="13.85546875" style="92" customWidth="1"/>
    <col min="10499" max="10732" width="10.42578125" style="92" customWidth="1"/>
    <col min="10733" max="10742" width="9.140625" style="92"/>
    <col min="10743" max="10743" width="52.42578125" style="92" customWidth="1"/>
    <col min="10744" max="10744" width="10" style="92" customWidth="1"/>
    <col min="10745" max="10745" width="10.42578125" style="92" customWidth="1"/>
    <col min="10746" max="10746" width="13.85546875" style="92" customWidth="1"/>
    <col min="10747" max="10747" width="12.42578125" style="92" customWidth="1"/>
    <col min="10748" max="10748" width="13.140625" style="92" customWidth="1"/>
    <col min="10749" max="10749" width="12.42578125" style="92" customWidth="1"/>
    <col min="10750" max="10750" width="14.42578125" style="92" customWidth="1"/>
    <col min="10751" max="10751" width="12.42578125" style="92" customWidth="1"/>
    <col min="10752" max="10752" width="12" style="92" customWidth="1"/>
    <col min="10753" max="10753" width="11.7109375" style="92" customWidth="1"/>
    <col min="10754" max="10754" width="13.85546875" style="92" customWidth="1"/>
    <col min="10755" max="10988" width="10.42578125" style="92" customWidth="1"/>
    <col min="10989" max="10998" width="9.140625" style="92"/>
    <col min="10999" max="10999" width="52.42578125" style="92" customWidth="1"/>
    <col min="11000" max="11000" width="10" style="92" customWidth="1"/>
    <col min="11001" max="11001" width="10.42578125" style="92" customWidth="1"/>
    <col min="11002" max="11002" width="13.85546875" style="92" customWidth="1"/>
    <col min="11003" max="11003" width="12.42578125" style="92" customWidth="1"/>
    <col min="11004" max="11004" width="13.140625" style="92" customWidth="1"/>
    <col min="11005" max="11005" width="12.42578125" style="92" customWidth="1"/>
    <col min="11006" max="11006" width="14.42578125" style="92" customWidth="1"/>
    <col min="11007" max="11007" width="12.42578125" style="92" customWidth="1"/>
    <col min="11008" max="11008" width="12" style="92" customWidth="1"/>
    <col min="11009" max="11009" width="11.7109375" style="92" customWidth="1"/>
    <col min="11010" max="11010" width="13.85546875" style="92" customWidth="1"/>
    <col min="11011" max="11244" width="10.42578125" style="92" customWidth="1"/>
    <col min="11245" max="11254" width="9.140625" style="92"/>
    <col min="11255" max="11255" width="52.42578125" style="92" customWidth="1"/>
    <col min="11256" max="11256" width="10" style="92" customWidth="1"/>
    <col min="11257" max="11257" width="10.42578125" style="92" customWidth="1"/>
    <col min="11258" max="11258" width="13.85546875" style="92" customWidth="1"/>
    <col min="11259" max="11259" width="12.42578125" style="92" customWidth="1"/>
    <col min="11260" max="11260" width="13.140625" style="92" customWidth="1"/>
    <col min="11261" max="11261" width="12.42578125" style="92" customWidth="1"/>
    <col min="11262" max="11262" width="14.42578125" style="92" customWidth="1"/>
    <col min="11263" max="11263" width="12.42578125" style="92" customWidth="1"/>
    <col min="11264" max="11264" width="12" style="92" customWidth="1"/>
    <col min="11265" max="11265" width="11.7109375" style="92" customWidth="1"/>
    <col min="11266" max="11266" width="13.85546875" style="92" customWidth="1"/>
    <col min="11267" max="11500" width="10.42578125" style="92" customWidth="1"/>
    <col min="11501" max="11510" width="9.140625" style="92"/>
    <col min="11511" max="11511" width="52.42578125" style="92" customWidth="1"/>
    <col min="11512" max="11512" width="10" style="92" customWidth="1"/>
    <col min="11513" max="11513" width="10.42578125" style="92" customWidth="1"/>
    <col min="11514" max="11514" width="13.85546875" style="92" customWidth="1"/>
    <col min="11515" max="11515" width="12.42578125" style="92" customWidth="1"/>
    <col min="11516" max="11516" width="13.140625" style="92" customWidth="1"/>
    <col min="11517" max="11517" width="12.42578125" style="92" customWidth="1"/>
    <col min="11518" max="11518" width="14.42578125" style="92" customWidth="1"/>
    <col min="11519" max="11519" width="12.42578125" style="92" customWidth="1"/>
    <col min="11520" max="11520" width="12" style="92" customWidth="1"/>
    <col min="11521" max="11521" width="11.7109375" style="92" customWidth="1"/>
    <col min="11522" max="11522" width="13.85546875" style="92" customWidth="1"/>
    <col min="11523" max="11756" width="10.42578125" style="92" customWidth="1"/>
    <col min="11757" max="11766" width="9.140625" style="92"/>
    <col min="11767" max="11767" width="52.42578125" style="92" customWidth="1"/>
    <col min="11768" max="11768" width="10" style="92" customWidth="1"/>
    <col min="11769" max="11769" width="10.42578125" style="92" customWidth="1"/>
    <col min="11770" max="11770" width="13.85546875" style="92" customWidth="1"/>
    <col min="11771" max="11771" width="12.42578125" style="92" customWidth="1"/>
    <col min="11772" max="11772" width="13.140625" style="92" customWidth="1"/>
    <col min="11773" max="11773" width="12.42578125" style="92" customWidth="1"/>
    <col min="11774" max="11774" width="14.42578125" style="92" customWidth="1"/>
    <col min="11775" max="11775" width="12.42578125" style="92" customWidth="1"/>
    <col min="11776" max="11776" width="12" style="92" customWidth="1"/>
    <col min="11777" max="11777" width="11.7109375" style="92" customWidth="1"/>
    <col min="11778" max="11778" width="13.85546875" style="92" customWidth="1"/>
    <col min="11779" max="12012" width="10.42578125" style="92" customWidth="1"/>
    <col min="12013" max="12022" width="9.140625" style="92"/>
    <col min="12023" max="12023" width="52.42578125" style="92" customWidth="1"/>
    <col min="12024" max="12024" width="10" style="92" customWidth="1"/>
    <col min="12025" max="12025" width="10.42578125" style="92" customWidth="1"/>
    <col min="12026" max="12026" width="13.85546875" style="92" customWidth="1"/>
    <col min="12027" max="12027" width="12.42578125" style="92" customWidth="1"/>
    <col min="12028" max="12028" width="13.140625" style="92" customWidth="1"/>
    <col min="12029" max="12029" width="12.42578125" style="92" customWidth="1"/>
    <col min="12030" max="12030" width="14.42578125" style="92" customWidth="1"/>
    <col min="12031" max="12031" width="12.42578125" style="92" customWidth="1"/>
    <col min="12032" max="12032" width="12" style="92" customWidth="1"/>
    <col min="12033" max="12033" width="11.7109375" style="92" customWidth="1"/>
    <col min="12034" max="12034" width="13.85546875" style="92" customWidth="1"/>
    <col min="12035" max="12268" width="10.42578125" style="92" customWidth="1"/>
    <col min="12269" max="12278" width="9.140625" style="92"/>
    <col min="12279" max="12279" width="52.42578125" style="92" customWidth="1"/>
    <col min="12280" max="12280" width="10" style="92" customWidth="1"/>
    <col min="12281" max="12281" width="10.42578125" style="92" customWidth="1"/>
    <col min="12282" max="12282" width="13.85546875" style="92" customWidth="1"/>
    <col min="12283" max="12283" width="12.42578125" style="92" customWidth="1"/>
    <col min="12284" max="12284" width="13.140625" style="92" customWidth="1"/>
    <col min="12285" max="12285" width="12.42578125" style="92" customWidth="1"/>
    <col min="12286" max="12286" width="14.42578125" style="92" customWidth="1"/>
    <col min="12287" max="12287" width="12.42578125" style="92" customWidth="1"/>
    <col min="12288" max="12288" width="12" style="92" customWidth="1"/>
    <col min="12289" max="12289" width="11.7109375" style="92" customWidth="1"/>
    <col min="12290" max="12290" width="13.85546875" style="92" customWidth="1"/>
    <col min="12291" max="12524" width="10.42578125" style="92" customWidth="1"/>
    <col min="12525" max="12534" width="9.140625" style="92"/>
    <col min="12535" max="12535" width="52.42578125" style="92" customWidth="1"/>
    <col min="12536" max="12536" width="10" style="92" customWidth="1"/>
    <col min="12537" max="12537" width="10.42578125" style="92" customWidth="1"/>
    <col min="12538" max="12538" width="13.85546875" style="92" customWidth="1"/>
    <col min="12539" max="12539" width="12.42578125" style="92" customWidth="1"/>
    <col min="12540" max="12540" width="13.140625" style="92" customWidth="1"/>
    <col min="12541" max="12541" width="12.42578125" style="92" customWidth="1"/>
    <col min="12542" max="12542" width="14.42578125" style="92" customWidth="1"/>
    <col min="12543" max="12543" width="12.42578125" style="92" customWidth="1"/>
    <col min="12544" max="12544" width="12" style="92" customWidth="1"/>
    <col min="12545" max="12545" width="11.7109375" style="92" customWidth="1"/>
    <col min="12546" max="12546" width="13.85546875" style="92" customWidth="1"/>
    <col min="12547" max="12780" width="10.42578125" style="92" customWidth="1"/>
    <col min="12781" max="12790" width="9.140625" style="92"/>
    <col min="12791" max="12791" width="52.42578125" style="92" customWidth="1"/>
    <col min="12792" max="12792" width="10" style="92" customWidth="1"/>
    <col min="12793" max="12793" width="10.42578125" style="92" customWidth="1"/>
    <col min="12794" max="12794" width="13.85546875" style="92" customWidth="1"/>
    <col min="12795" max="12795" width="12.42578125" style="92" customWidth="1"/>
    <col min="12796" max="12796" width="13.140625" style="92" customWidth="1"/>
    <col min="12797" max="12797" width="12.42578125" style="92" customWidth="1"/>
    <col min="12798" max="12798" width="14.42578125" style="92" customWidth="1"/>
    <col min="12799" max="12799" width="12.42578125" style="92" customWidth="1"/>
    <col min="12800" max="12800" width="12" style="92" customWidth="1"/>
    <col min="12801" max="12801" width="11.7109375" style="92" customWidth="1"/>
    <col min="12802" max="12802" width="13.85546875" style="92" customWidth="1"/>
    <col min="12803" max="13036" width="10.42578125" style="92" customWidth="1"/>
    <col min="13037" max="13046" width="9.140625" style="92"/>
    <col min="13047" max="13047" width="52.42578125" style="92" customWidth="1"/>
    <col min="13048" max="13048" width="10" style="92" customWidth="1"/>
    <col min="13049" max="13049" width="10.42578125" style="92" customWidth="1"/>
    <col min="13050" max="13050" width="13.85546875" style="92" customWidth="1"/>
    <col min="13051" max="13051" width="12.42578125" style="92" customWidth="1"/>
    <col min="13052" max="13052" width="13.140625" style="92" customWidth="1"/>
    <col min="13053" max="13053" width="12.42578125" style="92" customWidth="1"/>
    <col min="13054" max="13054" width="14.42578125" style="92" customWidth="1"/>
    <col min="13055" max="13055" width="12.42578125" style="92" customWidth="1"/>
    <col min="13056" max="13056" width="12" style="92" customWidth="1"/>
    <col min="13057" max="13057" width="11.7109375" style="92" customWidth="1"/>
    <col min="13058" max="13058" width="13.85546875" style="92" customWidth="1"/>
    <col min="13059" max="13292" width="10.42578125" style="92" customWidth="1"/>
    <col min="13293" max="13302" width="9.140625" style="92"/>
    <col min="13303" max="13303" width="52.42578125" style="92" customWidth="1"/>
    <col min="13304" max="13304" width="10" style="92" customWidth="1"/>
    <col min="13305" max="13305" width="10.42578125" style="92" customWidth="1"/>
    <col min="13306" max="13306" width="13.85546875" style="92" customWidth="1"/>
    <col min="13307" max="13307" width="12.42578125" style="92" customWidth="1"/>
    <col min="13308" max="13308" width="13.140625" style="92" customWidth="1"/>
    <col min="13309" max="13309" width="12.42578125" style="92" customWidth="1"/>
    <col min="13310" max="13310" width="14.42578125" style="92" customWidth="1"/>
    <col min="13311" max="13311" width="12.42578125" style="92" customWidth="1"/>
    <col min="13312" max="13312" width="12" style="92" customWidth="1"/>
    <col min="13313" max="13313" width="11.7109375" style="92" customWidth="1"/>
    <col min="13314" max="13314" width="13.85546875" style="92" customWidth="1"/>
    <col min="13315" max="13548" width="10.42578125" style="92" customWidth="1"/>
    <col min="13549" max="13558" width="9.140625" style="92"/>
    <col min="13559" max="13559" width="52.42578125" style="92" customWidth="1"/>
    <col min="13560" max="13560" width="10" style="92" customWidth="1"/>
    <col min="13561" max="13561" width="10.42578125" style="92" customWidth="1"/>
    <col min="13562" max="13562" width="13.85546875" style="92" customWidth="1"/>
    <col min="13563" max="13563" width="12.42578125" style="92" customWidth="1"/>
    <col min="13564" max="13564" width="13.140625" style="92" customWidth="1"/>
    <col min="13565" max="13565" width="12.42578125" style="92" customWidth="1"/>
    <col min="13566" max="13566" width="14.42578125" style="92" customWidth="1"/>
    <col min="13567" max="13567" width="12.42578125" style="92" customWidth="1"/>
    <col min="13568" max="13568" width="12" style="92" customWidth="1"/>
    <col min="13569" max="13569" width="11.7109375" style="92" customWidth="1"/>
    <col min="13570" max="13570" width="13.85546875" style="92" customWidth="1"/>
    <col min="13571" max="13804" width="10.42578125" style="92" customWidth="1"/>
    <col min="13805" max="13814" width="9.140625" style="92"/>
    <col min="13815" max="13815" width="52.42578125" style="92" customWidth="1"/>
    <col min="13816" max="13816" width="10" style="92" customWidth="1"/>
    <col min="13817" max="13817" width="10.42578125" style="92" customWidth="1"/>
    <col min="13818" max="13818" width="13.85546875" style="92" customWidth="1"/>
    <col min="13819" max="13819" width="12.42578125" style="92" customWidth="1"/>
    <col min="13820" max="13820" width="13.140625" style="92" customWidth="1"/>
    <col min="13821" max="13821" width="12.42578125" style="92" customWidth="1"/>
    <col min="13822" max="13822" width="14.42578125" style="92" customWidth="1"/>
    <col min="13823" max="13823" width="12.42578125" style="92" customWidth="1"/>
    <col min="13824" max="13824" width="12" style="92" customWidth="1"/>
    <col min="13825" max="13825" width="11.7109375" style="92" customWidth="1"/>
    <col min="13826" max="13826" width="13.85546875" style="92" customWidth="1"/>
    <col min="13827" max="14060" width="10.42578125" style="92" customWidth="1"/>
    <col min="14061" max="14070" width="9.140625" style="92"/>
    <col min="14071" max="14071" width="52.42578125" style="92" customWidth="1"/>
    <col min="14072" max="14072" width="10" style="92" customWidth="1"/>
    <col min="14073" max="14073" width="10.42578125" style="92" customWidth="1"/>
    <col min="14074" max="14074" width="13.85546875" style="92" customWidth="1"/>
    <col min="14075" max="14075" width="12.42578125" style="92" customWidth="1"/>
    <col min="14076" max="14076" width="13.140625" style="92" customWidth="1"/>
    <col min="14077" max="14077" width="12.42578125" style="92" customWidth="1"/>
    <col min="14078" max="14078" width="14.42578125" style="92" customWidth="1"/>
    <col min="14079" max="14079" width="12.42578125" style="92" customWidth="1"/>
    <col min="14080" max="14080" width="12" style="92" customWidth="1"/>
    <col min="14081" max="14081" width="11.7109375" style="92" customWidth="1"/>
    <col min="14082" max="14082" width="13.85546875" style="92" customWidth="1"/>
    <col min="14083" max="14316" width="10.42578125" style="92" customWidth="1"/>
    <col min="14317" max="14326" width="9.140625" style="92"/>
    <col min="14327" max="14327" width="52.42578125" style="92" customWidth="1"/>
    <col min="14328" max="14328" width="10" style="92" customWidth="1"/>
    <col min="14329" max="14329" width="10.42578125" style="92" customWidth="1"/>
    <col min="14330" max="14330" width="13.85546875" style="92" customWidth="1"/>
    <col min="14331" max="14331" width="12.42578125" style="92" customWidth="1"/>
    <col min="14332" max="14332" width="13.140625" style="92" customWidth="1"/>
    <col min="14333" max="14333" width="12.42578125" style="92" customWidth="1"/>
    <col min="14334" max="14334" width="14.42578125" style="92" customWidth="1"/>
    <col min="14335" max="14335" width="12.42578125" style="92" customWidth="1"/>
    <col min="14336" max="14336" width="12" style="92" customWidth="1"/>
    <col min="14337" max="14337" width="11.7109375" style="92" customWidth="1"/>
    <col min="14338" max="14338" width="13.85546875" style="92" customWidth="1"/>
    <col min="14339" max="14572" width="10.42578125" style="92" customWidth="1"/>
    <col min="14573" max="14582" width="9.140625" style="92"/>
    <col min="14583" max="14583" width="52.42578125" style="92" customWidth="1"/>
    <col min="14584" max="14584" width="10" style="92" customWidth="1"/>
    <col min="14585" max="14585" width="10.42578125" style="92" customWidth="1"/>
    <col min="14586" max="14586" width="13.85546875" style="92" customWidth="1"/>
    <col min="14587" max="14587" width="12.42578125" style="92" customWidth="1"/>
    <col min="14588" max="14588" width="13.140625" style="92" customWidth="1"/>
    <col min="14589" max="14589" width="12.42578125" style="92" customWidth="1"/>
    <col min="14590" max="14590" width="14.42578125" style="92" customWidth="1"/>
    <col min="14591" max="14591" width="12.42578125" style="92" customWidth="1"/>
    <col min="14592" max="14592" width="12" style="92" customWidth="1"/>
    <col min="14593" max="14593" width="11.7109375" style="92" customWidth="1"/>
    <col min="14594" max="14594" width="13.85546875" style="92" customWidth="1"/>
    <col min="14595" max="14828" width="10.42578125" style="92" customWidth="1"/>
    <col min="14829" max="14838" width="9.140625" style="92"/>
    <col min="14839" max="14839" width="52.42578125" style="92" customWidth="1"/>
    <col min="14840" max="14840" width="10" style="92" customWidth="1"/>
    <col min="14841" max="14841" width="10.42578125" style="92" customWidth="1"/>
    <col min="14842" max="14842" width="13.85546875" style="92" customWidth="1"/>
    <col min="14843" max="14843" width="12.42578125" style="92" customWidth="1"/>
    <col min="14844" max="14844" width="13.140625" style="92" customWidth="1"/>
    <col min="14845" max="14845" width="12.42578125" style="92" customWidth="1"/>
    <col min="14846" max="14846" width="14.42578125" style="92" customWidth="1"/>
    <col min="14847" max="14847" width="12.42578125" style="92" customWidth="1"/>
    <col min="14848" max="14848" width="12" style="92" customWidth="1"/>
    <col min="14849" max="14849" width="11.7109375" style="92" customWidth="1"/>
    <col min="14850" max="14850" width="13.85546875" style="92" customWidth="1"/>
    <col min="14851" max="15084" width="10.42578125" style="92" customWidth="1"/>
    <col min="15085" max="15094" width="9.140625" style="92"/>
    <col min="15095" max="15095" width="52.42578125" style="92" customWidth="1"/>
    <col min="15096" max="15096" width="10" style="92" customWidth="1"/>
    <col min="15097" max="15097" width="10.42578125" style="92" customWidth="1"/>
    <col min="15098" max="15098" width="13.85546875" style="92" customWidth="1"/>
    <col min="15099" max="15099" width="12.42578125" style="92" customWidth="1"/>
    <col min="15100" max="15100" width="13.140625" style="92" customWidth="1"/>
    <col min="15101" max="15101" width="12.42578125" style="92" customWidth="1"/>
    <col min="15102" max="15102" width="14.42578125" style="92" customWidth="1"/>
    <col min="15103" max="15103" width="12.42578125" style="92" customWidth="1"/>
    <col min="15104" max="15104" width="12" style="92" customWidth="1"/>
    <col min="15105" max="15105" width="11.7109375" style="92" customWidth="1"/>
    <col min="15106" max="15106" width="13.85546875" style="92" customWidth="1"/>
    <col min="15107" max="15340" width="10.42578125" style="92" customWidth="1"/>
    <col min="15341" max="15350" width="9.140625" style="92"/>
    <col min="15351" max="15351" width="52.42578125" style="92" customWidth="1"/>
    <col min="15352" max="15352" width="10" style="92" customWidth="1"/>
    <col min="15353" max="15353" width="10.42578125" style="92" customWidth="1"/>
    <col min="15354" max="15354" width="13.85546875" style="92" customWidth="1"/>
    <col min="15355" max="15355" width="12.42578125" style="92" customWidth="1"/>
    <col min="15356" max="15356" width="13.140625" style="92" customWidth="1"/>
    <col min="15357" max="15357" width="12.42578125" style="92" customWidth="1"/>
    <col min="15358" max="15358" width="14.42578125" style="92" customWidth="1"/>
    <col min="15359" max="15359" width="12.42578125" style="92" customWidth="1"/>
    <col min="15360" max="15360" width="12" style="92" customWidth="1"/>
    <col min="15361" max="15361" width="11.7109375" style="92" customWidth="1"/>
    <col min="15362" max="15362" width="13.85546875" style="92" customWidth="1"/>
    <col min="15363" max="15596" width="10.42578125" style="92" customWidth="1"/>
    <col min="15597" max="15606" width="9.140625" style="92"/>
    <col min="15607" max="15607" width="52.42578125" style="92" customWidth="1"/>
    <col min="15608" max="15608" width="10" style="92" customWidth="1"/>
    <col min="15609" max="15609" width="10.42578125" style="92" customWidth="1"/>
    <col min="15610" max="15610" width="13.85546875" style="92" customWidth="1"/>
    <col min="15611" max="15611" width="12.42578125" style="92" customWidth="1"/>
    <col min="15612" max="15612" width="13.140625" style="92" customWidth="1"/>
    <col min="15613" max="15613" width="12.42578125" style="92" customWidth="1"/>
    <col min="15614" max="15614" width="14.42578125" style="92" customWidth="1"/>
    <col min="15615" max="15615" width="12.42578125" style="92" customWidth="1"/>
    <col min="15616" max="15616" width="12" style="92" customWidth="1"/>
    <col min="15617" max="15617" width="11.7109375" style="92" customWidth="1"/>
    <col min="15618" max="15618" width="13.85546875" style="92" customWidth="1"/>
    <col min="15619" max="15852" width="10.42578125" style="92" customWidth="1"/>
    <col min="15853" max="15862" width="9.140625" style="92"/>
    <col min="15863" max="15863" width="52.42578125" style="92" customWidth="1"/>
    <col min="15864" max="15864" width="10" style="92" customWidth="1"/>
    <col min="15865" max="15865" width="10.42578125" style="92" customWidth="1"/>
    <col min="15866" max="15866" width="13.85546875" style="92" customWidth="1"/>
    <col min="15867" max="15867" width="12.42578125" style="92" customWidth="1"/>
    <col min="15868" max="15868" width="13.140625" style="92" customWidth="1"/>
    <col min="15869" max="15869" width="12.42578125" style="92" customWidth="1"/>
    <col min="15870" max="15870" width="14.42578125" style="92" customWidth="1"/>
    <col min="15871" max="15871" width="12.42578125" style="92" customWidth="1"/>
    <col min="15872" max="15872" width="12" style="92" customWidth="1"/>
    <col min="15873" max="15873" width="11.7109375" style="92" customWidth="1"/>
    <col min="15874" max="15874" width="13.85546875" style="92" customWidth="1"/>
    <col min="15875" max="16108" width="10.42578125" style="92" customWidth="1"/>
    <col min="16109" max="16118" width="9.140625" style="92"/>
    <col min="16119" max="16119" width="52.42578125" style="92" customWidth="1"/>
    <col min="16120" max="16120" width="10" style="92" customWidth="1"/>
    <col min="16121" max="16121" width="10.42578125" style="92" customWidth="1"/>
    <col min="16122" max="16122" width="13.85546875" style="92" customWidth="1"/>
    <col min="16123" max="16123" width="12.42578125" style="92" customWidth="1"/>
    <col min="16124" max="16124" width="13.140625" style="92" customWidth="1"/>
    <col min="16125" max="16125" width="12.42578125" style="92" customWidth="1"/>
    <col min="16126" max="16126" width="14.42578125" style="92" customWidth="1"/>
    <col min="16127" max="16127" width="12.42578125" style="92" customWidth="1"/>
    <col min="16128" max="16128" width="12" style="92" customWidth="1"/>
    <col min="16129" max="16129" width="11.7109375" style="92" customWidth="1"/>
    <col min="16130" max="16130" width="13.85546875" style="92" customWidth="1"/>
    <col min="16131" max="16364" width="10.42578125" style="92" customWidth="1"/>
    <col min="16365" max="16384" width="9.140625" style="92"/>
  </cols>
  <sheetData>
    <row r="1" spans="1:9" s="90" customFormat="1" ht="9" customHeight="1">
      <c r="A1" s="89"/>
      <c r="C1" s="91"/>
      <c r="D1" s="201"/>
      <c r="E1" s="201"/>
      <c r="F1" s="202"/>
      <c r="G1" s="202"/>
      <c r="H1" s="202"/>
    </row>
    <row r="2" spans="1:9" s="90" customFormat="1">
      <c r="A2" s="77"/>
      <c r="B2" s="77"/>
      <c r="C2" s="77"/>
      <c r="D2" s="203"/>
      <c r="E2" s="372"/>
      <c r="F2" s="372"/>
      <c r="G2" s="372" t="s">
        <v>211</v>
      </c>
      <c r="H2" s="372"/>
    </row>
    <row r="3" spans="1:9" s="90" customFormat="1" ht="25.5" customHeight="1">
      <c r="A3" s="379" t="s">
        <v>99</v>
      </c>
      <c r="B3" s="379"/>
      <c r="C3" s="379"/>
      <c r="D3" s="379"/>
      <c r="E3" s="379"/>
      <c r="F3" s="379"/>
      <c r="G3" s="379"/>
      <c r="H3" s="208"/>
    </row>
    <row r="4" spans="1:9" s="90" customFormat="1" ht="26.25">
      <c r="A4" s="86"/>
      <c r="B4" s="86"/>
      <c r="C4" s="86"/>
      <c r="D4" s="209"/>
      <c r="E4" s="209"/>
      <c r="F4" s="209"/>
      <c r="G4" s="209"/>
      <c r="H4" s="209"/>
    </row>
    <row r="5" spans="1:9" s="90" customFormat="1" ht="27.75" customHeight="1">
      <c r="A5" s="103" t="s">
        <v>45</v>
      </c>
      <c r="B5" s="104" t="s">
        <v>100</v>
      </c>
      <c r="C5" s="76"/>
      <c r="D5" s="210"/>
      <c r="E5" s="210"/>
      <c r="F5" s="211"/>
      <c r="G5" s="204"/>
      <c r="H5" s="211"/>
    </row>
    <row r="6" spans="1:9" s="90" customFormat="1" ht="27.75" customHeight="1">
      <c r="A6" s="373" t="s">
        <v>53</v>
      </c>
      <c r="B6" s="374" t="s">
        <v>104</v>
      </c>
      <c r="C6" s="373" t="s">
        <v>233</v>
      </c>
      <c r="D6" s="375" t="s">
        <v>234</v>
      </c>
      <c r="E6" s="376" t="s">
        <v>203</v>
      </c>
      <c r="F6" s="377" t="s">
        <v>204</v>
      </c>
      <c r="G6" s="376" t="s">
        <v>88</v>
      </c>
      <c r="H6" s="378"/>
      <c r="I6" s="378"/>
    </row>
    <row r="7" spans="1:9" ht="31.5" customHeight="1">
      <c r="A7" s="373"/>
      <c r="B7" s="374"/>
      <c r="C7" s="373"/>
      <c r="D7" s="375"/>
      <c r="E7" s="376"/>
      <c r="F7" s="377"/>
      <c r="G7" s="232">
        <v>2026</v>
      </c>
      <c r="H7" s="232">
        <v>2027</v>
      </c>
      <c r="I7" s="232">
        <v>2028</v>
      </c>
    </row>
    <row r="8" spans="1:9" s="93" customFormat="1" ht="89.25">
      <c r="A8" s="227"/>
      <c r="B8" s="262" t="s">
        <v>11</v>
      </c>
      <c r="C8" s="229">
        <v>7800</v>
      </c>
      <c r="D8" s="229" t="s">
        <v>213</v>
      </c>
      <c r="E8" s="230">
        <f t="shared" ref="E8:I8" si="0">E26*E28+E29</f>
        <v>14433552.000000002</v>
      </c>
      <c r="F8" s="231">
        <f t="shared" si="0"/>
        <v>16359848.820863999</v>
      </c>
      <c r="G8" s="231">
        <f t="shared" si="0"/>
        <v>17755833.708051659</v>
      </c>
      <c r="H8" s="231">
        <f t="shared" si="0"/>
        <v>19426424.294362649</v>
      </c>
      <c r="I8" s="231">
        <f t="shared" si="0"/>
        <v>20786273.994968034</v>
      </c>
    </row>
    <row r="9" spans="1:9" ht="38.25">
      <c r="A9" s="186">
        <v>1</v>
      </c>
      <c r="B9" s="187" t="s">
        <v>151</v>
      </c>
      <c r="C9" s="188">
        <v>7805</v>
      </c>
      <c r="D9" s="189" t="s">
        <v>214</v>
      </c>
      <c r="E9" s="190"/>
      <c r="F9" s="191"/>
      <c r="G9" s="191"/>
      <c r="H9" s="191"/>
      <c r="I9" s="191"/>
    </row>
    <row r="10" spans="1:9" ht="38.25">
      <c r="A10" s="186">
        <v>2</v>
      </c>
      <c r="B10" s="187" t="s">
        <v>152</v>
      </c>
      <c r="C10" s="188">
        <v>7810</v>
      </c>
      <c r="D10" s="189" t="s">
        <v>214</v>
      </c>
      <c r="E10" s="190"/>
      <c r="F10" s="191"/>
      <c r="G10" s="191"/>
      <c r="H10" s="191"/>
      <c r="I10" s="191"/>
    </row>
    <row r="11" spans="1:9" ht="25.5">
      <c r="A11" s="186">
        <v>3</v>
      </c>
      <c r="B11" s="187" t="s">
        <v>153</v>
      </c>
      <c r="C11" s="188">
        <v>7815</v>
      </c>
      <c r="D11" s="189" t="s">
        <v>215</v>
      </c>
      <c r="E11" s="190"/>
      <c r="F11" s="191"/>
      <c r="G11" s="191"/>
      <c r="H11" s="191"/>
      <c r="I11" s="191"/>
    </row>
    <row r="12" spans="1:9" ht="51">
      <c r="A12" s="186">
        <v>4</v>
      </c>
      <c r="B12" s="187" t="s">
        <v>154</v>
      </c>
      <c r="C12" s="188">
        <v>7820</v>
      </c>
      <c r="D12" s="189" t="s">
        <v>216</v>
      </c>
      <c r="E12" s="233">
        <v>573342948</v>
      </c>
      <c r="F12" s="234">
        <v>1201776931</v>
      </c>
      <c r="G12" s="234">
        <v>1285901316.1700001</v>
      </c>
      <c r="H12" s="234">
        <v>1375914408.3019001</v>
      </c>
      <c r="I12" s="234">
        <v>1472228416.8830333</v>
      </c>
    </row>
    <row r="13" spans="1:9" ht="229.5">
      <c r="A13" s="186">
        <v>5</v>
      </c>
      <c r="B13" s="187" t="s">
        <v>155</v>
      </c>
      <c r="C13" s="188">
        <v>7825</v>
      </c>
      <c r="D13" s="189" t="s">
        <v>217</v>
      </c>
      <c r="E13" s="233">
        <v>498155377</v>
      </c>
      <c r="F13" s="234">
        <v>547719310</v>
      </c>
      <c r="G13" s="234">
        <f>G12*G15</f>
        <v>591514605.43820012</v>
      </c>
      <c r="H13" s="234">
        <f t="shared" ref="H13:I13" si="1">H12*H15</f>
        <v>632920627.81887412</v>
      </c>
      <c r="I13" s="234">
        <f t="shared" si="1"/>
        <v>677225071.7661953</v>
      </c>
    </row>
    <row r="14" spans="1:9" ht="229.5">
      <c r="A14" s="186">
        <v>6</v>
      </c>
      <c r="B14" s="187" t="s">
        <v>156</v>
      </c>
      <c r="C14" s="188">
        <v>7830</v>
      </c>
      <c r="D14" s="189" t="s">
        <v>218</v>
      </c>
      <c r="E14" s="233">
        <v>88701123</v>
      </c>
      <c r="F14" s="234">
        <v>192583536</v>
      </c>
      <c r="G14" s="234">
        <f>G12*G16</f>
        <v>211841889.60000002</v>
      </c>
      <c r="H14" s="234">
        <f t="shared" ref="H14:I14" si="2">H12*H16</f>
        <v>247664593.49434203</v>
      </c>
      <c r="I14" s="234">
        <f t="shared" si="2"/>
        <v>265001115.03894597</v>
      </c>
    </row>
    <row r="15" spans="1:9" ht="51">
      <c r="A15" s="186">
        <v>7</v>
      </c>
      <c r="B15" s="187" t="s">
        <v>157</v>
      </c>
      <c r="C15" s="188">
        <v>7835</v>
      </c>
      <c r="D15" s="189" t="s">
        <v>219</v>
      </c>
      <c r="E15" s="235">
        <f>E13/E12</f>
        <v>0.86886108695977193</v>
      </c>
      <c r="F15" s="235">
        <v>0.45575788307422588</v>
      </c>
      <c r="G15" s="235">
        <v>0.46</v>
      </c>
      <c r="H15" s="235">
        <v>0.46</v>
      </c>
      <c r="I15" s="235">
        <v>0.46</v>
      </c>
    </row>
    <row r="16" spans="1:9" ht="38.25">
      <c r="A16" s="186">
        <v>8</v>
      </c>
      <c r="B16" s="187" t="s">
        <v>158</v>
      </c>
      <c r="C16" s="188">
        <v>7840</v>
      </c>
      <c r="D16" s="189" t="s">
        <v>220</v>
      </c>
      <c r="E16" s="235">
        <f>E14/E12</f>
        <v>0.15470866661815119</v>
      </c>
      <c r="F16" s="236">
        <v>0.16024898717247885</v>
      </c>
      <c r="G16" s="236">
        <v>0.16474194942965117</v>
      </c>
      <c r="H16" s="236">
        <v>0.18</v>
      </c>
      <c r="I16" s="236">
        <v>0.18</v>
      </c>
    </row>
    <row r="17" spans="1:9" ht="51">
      <c r="A17" s="186">
        <v>9</v>
      </c>
      <c r="B17" s="187" t="s">
        <v>159</v>
      </c>
      <c r="C17" s="188">
        <v>7845</v>
      </c>
      <c r="D17" s="189"/>
      <c r="E17" s="237">
        <v>2.1655141142840657</v>
      </c>
      <c r="F17" s="238">
        <v>2.1637739958446964</v>
      </c>
      <c r="G17" s="238">
        <v>2.1637739958447</v>
      </c>
      <c r="H17" s="238">
        <v>2.1637739958447</v>
      </c>
      <c r="I17" s="238">
        <v>2.1637739958447</v>
      </c>
    </row>
    <row r="18" spans="1:9" ht="51">
      <c r="A18" s="186">
        <v>10</v>
      </c>
      <c r="B18" s="187" t="s">
        <v>160</v>
      </c>
      <c r="C18" s="188">
        <v>7850</v>
      </c>
      <c r="D18" s="189"/>
      <c r="E18" s="237">
        <v>1.9454173088654132</v>
      </c>
      <c r="F18" s="238">
        <v>1.9357708750347173</v>
      </c>
      <c r="G18" s="238">
        <v>1.94</v>
      </c>
      <c r="H18" s="238">
        <v>1.94</v>
      </c>
      <c r="I18" s="238">
        <v>1.94</v>
      </c>
    </row>
    <row r="19" spans="1:9" ht="191.25">
      <c r="A19" s="186">
        <v>11</v>
      </c>
      <c r="B19" s="187" t="s">
        <v>161</v>
      </c>
      <c r="C19" s="188">
        <v>7855</v>
      </c>
      <c r="D19" s="189" t="s">
        <v>221</v>
      </c>
      <c r="E19" s="233">
        <f>E13*E17/100</f>
        <v>10787624.999999998</v>
      </c>
      <c r="F19" s="233">
        <f t="shared" ref="F19:I20" si="3">F13*F17/100</f>
        <v>11851408</v>
      </c>
      <c r="G19" s="233">
        <f t="shared" si="3"/>
        <v>12799039.214095153</v>
      </c>
      <c r="H19" s="233">
        <f t="shared" si="3"/>
        <v>13694971.959081814</v>
      </c>
      <c r="I19" s="233">
        <f t="shared" si="3"/>
        <v>14653619.996217541</v>
      </c>
    </row>
    <row r="20" spans="1:9" ht="178.5">
      <c r="A20" s="195">
        <v>12</v>
      </c>
      <c r="B20" s="196" t="s">
        <v>162</v>
      </c>
      <c r="C20" s="197">
        <v>7860</v>
      </c>
      <c r="D20" s="189" t="s">
        <v>222</v>
      </c>
      <c r="E20" s="239">
        <f>E14*E18/100</f>
        <v>1725607</v>
      </c>
      <c r="F20" s="239">
        <f t="shared" si="3"/>
        <v>3727976</v>
      </c>
      <c r="G20" s="239">
        <f t="shared" si="3"/>
        <v>4109732.6582400007</v>
      </c>
      <c r="H20" s="239">
        <f t="shared" si="3"/>
        <v>4804693.1137902355</v>
      </c>
      <c r="I20" s="239">
        <f t="shared" si="3"/>
        <v>5141021.6317555513</v>
      </c>
    </row>
    <row r="21" spans="1:9" ht="38.25">
      <c r="A21" s="198">
        <v>13</v>
      </c>
      <c r="B21" s="199" t="s">
        <v>163</v>
      </c>
      <c r="C21" s="188">
        <v>7865</v>
      </c>
      <c r="D21" s="189" t="s">
        <v>223</v>
      </c>
      <c r="E21" s="233">
        <f>E19+E20</f>
        <v>12513231.999999998</v>
      </c>
      <c r="F21" s="234">
        <f t="shared" ref="F21:I21" si="4">F19+F20</f>
        <v>15579384</v>
      </c>
      <c r="G21" s="234">
        <f t="shared" si="4"/>
        <v>16908771.872335155</v>
      </c>
      <c r="H21" s="234">
        <f t="shared" si="4"/>
        <v>18499665.07287205</v>
      </c>
      <c r="I21" s="234">
        <f t="shared" si="4"/>
        <v>19794641.627973095</v>
      </c>
    </row>
    <row r="22" spans="1:9" ht="51">
      <c r="A22" s="198">
        <v>14</v>
      </c>
      <c r="B22" s="199" t="s">
        <v>164</v>
      </c>
      <c r="C22" s="188">
        <v>7870</v>
      </c>
      <c r="D22" s="189" t="s">
        <v>224</v>
      </c>
      <c r="E22" s="233">
        <v>456536</v>
      </c>
      <c r="F22" s="234">
        <v>521432</v>
      </c>
      <c r="G22" s="234">
        <v>573575.20000000007</v>
      </c>
      <c r="H22" s="234">
        <v>630932.72000000009</v>
      </c>
      <c r="I22" s="234">
        <v>694025.9920000002</v>
      </c>
    </row>
    <row r="23" spans="1:9" ht="76.5">
      <c r="A23" s="198">
        <v>15</v>
      </c>
      <c r="B23" s="199" t="s">
        <v>165</v>
      </c>
      <c r="C23" s="188">
        <v>7875</v>
      </c>
      <c r="D23" s="189" t="s">
        <v>225</v>
      </c>
      <c r="E23" s="233">
        <f>E19-E22</f>
        <v>10331088.999999998</v>
      </c>
      <c r="F23" s="234">
        <f t="shared" ref="F23:I23" si="5">F19-F22</f>
        <v>11329976</v>
      </c>
      <c r="G23" s="234">
        <f t="shared" si="5"/>
        <v>12225464.014095154</v>
      </c>
      <c r="H23" s="234">
        <f t="shared" si="5"/>
        <v>13064039.239081813</v>
      </c>
      <c r="I23" s="234">
        <f t="shared" si="5"/>
        <v>13959594.004217541</v>
      </c>
    </row>
    <row r="24" spans="1:9" ht="63.75">
      <c r="A24" s="198">
        <v>16</v>
      </c>
      <c r="B24" s="199" t="s">
        <v>226</v>
      </c>
      <c r="C24" s="188">
        <v>7880</v>
      </c>
      <c r="D24" s="189" t="s">
        <v>227</v>
      </c>
      <c r="E24" s="240">
        <f>E23+E22-E19</f>
        <v>0</v>
      </c>
      <c r="F24" s="241">
        <f t="shared" ref="F24:I24" si="6">F23+F22-F19</f>
        <v>0</v>
      </c>
      <c r="G24" s="241">
        <f t="shared" si="6"/>
        <v>0</v>
      </c>
      <c r="H24" s="241">
        <f t="shared" si="6"/>
        <v>0</v>
      </c>
      <c r="I24" s="241">
        <f t="shared" si="6"/>
        <v>0</v>
      </c>
    </row>
    <row r="25" spans="1:9" ht="63.75">
      <c r="A25" s="198">
        <v>17</v>
      </c>
      <c r="B25" s="199" t="s">
        <v>166</v>
      </c>
      <c r="C25" s="188">
        <v>7885</v>
      </c>
      <c r="D25" s="189" t="s">
        <v>228</v>
      </c>
      <c r="E25" s="242">
        <f>E21+E24</f>
        <v>12513231.999999998</v>
      </c>
      <c r="F25" s="234">
        <f t="shared" ref="F25:I25" si="7">F21+F24</f>
        <v>15579384</v>
      </c>
      <c r="G25" s="234">
        <f t="shared" si="7"/>
        <v>16908771.872335155</v>
      </c>
      <c r="H25" s="234">
        <f t="shared" si="7"/>
        <v>18499665.07287205</v>
      </c>
      <c r="I25" s="234">
        <f t="shared" si="7"/>
        <v>19794641.627973095</v>
      </c>
    </row>
    <row r="26" spans="1:9" ht="38.25">
      <c r="A26" s="198">
        <v>18</v>
      </c>
      <c r="B26" s="199" t="s">
        <v>167</v>
      </c>
      <c r="C26" s="188">
        <v>7890</v>
      </c>
      <c r="D26" s="189" t="s">
        <v>229</v>
      </c>
      <c r="E26" s="233">
        <v>12536242</v>
      </c>
      <c r="F26" s="234">
        <f>F25*F27</f>
        <v>15610542.767999999</v>
      </c>
      <c r="G26" s="234">
        <f t="shared" ref="G26:I26" si="8">G25*G27</f>
        <v>16942589.416079827</v>
      </c>
      <c r="H26" s="234">
        <f t="shared" si="8"/>
        <v>18536664.403017793</v>
      </c>
      <c r="I26" s="234">
        <f t="shared" si="8"/>
        <v>19834230.91122904</v>
      </c>
    </row>
    <row r="27" spans="1:9" ht="25.5">
      <c r="A27" s="198">
        <v>19</v>
      </c>
      <c r="B27" s="199" t="s">
        <v>148</v>
      </c>
      <c r="C27" s="188">
        <v>7895</v>
      </c>
      <c r="D27" s="189" t="s">
        <v>230</v>
      </c>
      <c r="E27" s="235">
        <f>E26/E25*100%</f>
        <v>1.0018388534632781</v>
      </c>
      <c r="F27" s="243">
        <v>1.002</v>
      </c>
      <c r="G27" s="243">
        <v>1.002</v>
      </c>
      <c r="H27" s="243">
        <v>1.002</v>
      </c>
      <c r="I27" s="243">
        <v>1.002</v>
      </c>
    </row>
    <row r="28" spans="1:9" ht="89.25">
      <c r="A28" s="198">
        <v>20</v>
      </c>
      <c r="B28" s="199" t="s">
        <v>168</v>
      </c>
      <c r="C28" s="188">
        <v>7897</v>
      </c>
      <c r="D28" s="189" t="s">
        <v>231</v>
      </c>
      <c r="E28" s="235">
        <v>1.1513459934803429</v>
      </c>
      <c r="F28" s="243">
        <v>1.048</v>
      </c>
      <c r="G28" s="243">
        <v>1.048</v>
      </c>
      <c r="H28" s="243">
        <v>1.048</v>
      </c>
      <c r="I28" s="243">
        <v>1.048</v>
      </c>
    </row>
    <row r="29" spans="1:9" ht="15.75">
      <c r="A29" s="198">
        <v>21</v>
      </c>
      <c r="B29" s="199" t="s">
        <v>232</v>
      </c>
      <c r="C29" s="188">
        <v>7899</v>
      </c>
      <c r="D29" s="200"/>
      <c r="E29" s="241">
        <v>0</v>
      </c>
      <c r="F29" s="241">
        <v>0</v>
      </c>
      <c r="G29" s="241">
        <v>0</v>
      </c>
      <c r="H29" s="241">
        <v>0</v>
      </c>
      <c r="I29" s="241">
        <v>0</v>
      </c>
    </row>
  </sheetData>
  <mergeCells count="10">
    <mergeCell ref="G2:H2"/>
    <mergeCell ref="E2:F2"/>
    <mergeCell ref="C6:C7"/>
    <mergeCell ref="A6:A7"/>
    <mergeCell ref="B6:B7"/>
    <mergeCell ref="D6:D7"/>
    <mergeCell ref="E6:E7"/>
    <mergeCell ref="F6:F7"/>
    <mergeCell ref="G6:I6"/>
    <mergeCell ref="A3:G3"/>
  </mergeCells>
  <pageMargins left="0.70866141732283472" right="0.70866141732283472" top="0.74803149606299213" bottom="0.74803149606299213" header="0.31496062992125984" footer="0.31496062992125984"/>
  <pageSetup paperSize="9" scale="3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1:I84"/>
  <sheetViews>
    <sheetView view="pageBreakPreview" zoomScale="90" zoomScaleNormal="100" zoomScaleSheetLayoutView="90" workbookViewId="0">
      <selection activeCell="H2" sqref="H2"/>
    </sheetView>
  </sheetViews>
  <sheetFormatPr defaultRowHeight="15"/>
  <cols>
    <col min="1" max="1" width="10.140625" style="81" customWidth="1"/>
    <col min="2" max="2" width="28.7109375" style="81" customWidth="1"/>
    <col min="3" max="3" width="13.85546875" style="81" customWidth="1"/>
    <col min="4" max="4" width="18.7109375" style="81" customWidth="1"/>
    <col min="5" max="5" width="18.140625" style="81" customWidth="1"/>
    <col min="6" max="6" width="17.7109375" style="81" customWidth="1"/>
    <col min="7" max="7" width="17.85546875" style="81" customWidth="1"/>
    <col min="8" max="8" width="20.140625" style="81" customWidth="1"/>
    <col min="9" max="9" width="19.28515625" style="81" customWidth="1"/>
    <col min="10" max="239" width="10.42578125" style="81" customWidth="1"/>
    <col min="240" max="255" width="9.140625" style="81"/>
    <col min="256" max="256" width="52.42578125" style="81" customWidth="1"/>
    <col min="257" max="258" width="10.42578125" style="81" customWidth="1"/>
    <col min="259" max="259" width="13.85546875" style="81" customWidth="1"/>
    <col min="260" max="260" width="12.42578125" style="81" customWidth="1"/>
    <col min="261" max="261" width="13.140625" style="81" customWidth="1"/>
    <col min="262" max="262" width="12.42578125" style="81" customWidth="1"/>
    <col min="263" max="263" width="14.42578125" style="81" customWidth="1"/>
    <col min="264" max="495" width="10.42578125" style="81" customWidth="1"/>
    <col min="496" max="511" width="9.140625" style="81"/>
    <col min="512" max="512" width="52.42578125" style="81" customWidth="1"/>
    <col min="513" max="514" width="10.42578125" style="81" customWidth="1"/>
    <col min="515" max="515" width="13.85546875" style="81" customWidth="1"/>
    <col min="516" max="516" width="12.42578125" style="81" customWidth="1"/>
    <col min="517" max="517" width="13.140625" style="81" customWidth="1"/>
    <col min="518" max="518" width="12.42578125" style="81" customWidth="1"/>
    <col min="519" max="519" width="14.42578125" style="81" customWidth="1"/>
    <col min="520" max="751" width="10.42578125" style="81" customWidth="1"/>
    <col min="752" max="767" width="9.140625" style="81"/>
    <col min="768" max="768" width="52.42578125" style="81" customWidth="1"/>
    <col min="769" max="770" width="10.42578125" style="81" customWidth="1"/>
    <col min="771" max="771" width="13.85546875" style="81" customWidth="1"/>
    <col min="772" max="772" width="12.42578125" style="81" customWidth="1"/>
    <col min="773" max="773" width="13.140625" style="81" customWidth="1"/>
    <col min="774" max="774" width="12.42578125" style="81" customWidth="1"/>
    <col min="775" max="775" width="14.42578125" style="81" customWidth="1"/>
    <col min="776" max="1007" width="10.42578125" style="81" customWidth="1"/>
    <col min="1008" max="1023" width="9.140625" style="81"/>
    <col min="1024" max="1024" width="52.42578125" style="81" customWidth="1"/>
    <col min="1025" max="1026" width="10.42578125" style="81" customWidth="1"/>
    <col min="1027" max="1027" width="13.85546875" style="81" customWidth="1"/>
    <col min="1028" max="1028" width="12.42578125" style="81" customWidth="1"/>
    <col min="1029" max="1029" width="13.140625" style="81" customWidth="1"/>
    <col min="1030" max="1030" width="12.42578125" style="81" customWidth="1"/>
    <col min="1031" max="1031" width="14.42578125" style="81" customWidth="1"/>
    <col min="1032" max="1263" width="10.42578125" style="81" customWidth="1"/>
    <col min="1264" max="1279" width="9.140625" style="81"/>
    <col min="1280" max="1280" width="52.42578125" style="81" customWidth="1"/>
    <col min="1281" max="1282" width="10.42578125" style="81" customWidth="1"/>
    <col min="1283" max="1283" width="13.85546875" style="81" customWidth="1"/>
    <col min="1284" max="1284" width="12.42578125" style="81" customWidth="1"/>
    <col min="1285" max="1285" width="13.140625" style="81" customWidth="1"/>
    <col min="1286" max="1286" width="12.42578125" style="81" customWidth="1"/>
    <col min="1287" max="1287" width="14.42578125" style="81" customWidth="1"/>
    <col min="1288" max="1519" width="10.42578125" style="81" customWidth="1"/>
    <col min="1520" max="1535" width="9.140625" style="81"/>
    <col min="1536" max="1536" width="52.42578125" style="81" customWidth="1"/>
    <col min="1537" max="1538" width="10.42578125" style="81" customWidth="1"/>
    <col min="1539" max="1539" width="13.85546875" style="81" customWidth="1"/>
    <col min="1540" max="1540" width="12.42578125" style="81" customWidth="1"/>
    <col min="1541" max="1541" width="13.140625" style="81" customWidth="1"/>
    <col min="1542" max="1542" width="12.42578125" style="81" customWidth="1"/>
    <col min="1543" max="1543" width="14.42578125" style="81" customWidth="1"/>
    <col min="1544" max="1775" width="10.42578125" style="81" customWidth="1"/>
    <col min="1776" max="1791" width="9.140625" style="81"/>
    <col min="1792" max="1792" width="52.42578125" style="81" customWidth="1"/>
    <col min="1793" max="1794" width="10.42578125" style="81" customWidth="1"/>
    <col min="1795" max="1795" width="13.85546875" style="81" customWidth="1"/>
    <col min="1796" max="1796" width="12.42578125" style="81" customWidth="1"/>
    <col min="1797" max="1797" width="13.140625" style="81" customWidth="1"/>
    <col min="1798" max="1798" width="12.42578125" style="81" customWidth="1"/>
    <col min="1799" max="1799" width="14.42578125" style="81" customWidth="1"/>
    <col min="1800" max="2031" width="10.42578125" style="81" customWidth="1"/>
    <col min="2032" max="2047" width="9.140625" style="81"/>
    <col min="2048" max="2048" width="52.42578125" style="81" customWidth="1"/>
    <col min="2049" max="2050" width="10.42578125" style="81" customWidth="1"/>
    <col min="2051" max="2051" width="13.85546875" style="81" customWidth="1"/>
    <col min="2052" max="2052" width="12.42578125" style="81" customWidth="1"/>
    <col min="2053" max="2053" width="13.140625" style="81" customWidth="1"/>
    <col min="2054" max="2054" width="12.42578125" style="81" customWidth="1"/>
    <col min="2055" max="2055" width="14.42578125" style="81" customWidth="1"/>
    <col min="2056" max="2287" width="10.42578125" style="81" customWidth="1"/>
    <col min="2288" max="2303" width="9.140625" style="81"/>
    <col min="2304" max="2304" width="52.42578125" style="81" customWidth="1"/>
    <col min="2305" max="2306" width="10.42578125" style="81" customWidth="1"/>
    <col min="2307" max="2307" width="13.85546875" style="81" customWidth="1"/>
    <col min="2308" max="2308" width="12.42578125" style="81" customWidth="1"/>
    <col min="2309" max="2309" width="13.140625" style="81" customWidth="1"/>
    <col min="2310" max="2310" width="12.42578125" style="81" customWidth="1"/>
    <col min="2311" max="2311" width="14.42578125" style="81" customWidth="1"/>
    <col min="2312" max="2543" width="10.42578125" style="81" customWidth="1"/>
    <col min="2544" max="2559" width="9.140625" style="81"/>
    <col min="2560" max="2560" width="52.42578125" style="81" customWidth="1"/>
    <col min="2561" max="2562" width="10.42578125" style="81" customWidth="1"/>
    <col min="2563" max="2563" width="13.85546875" style="81" customWidth="1"/>
    <col min="2564" max="2564" width="12.42578125" style="81" customWidth="1"/>
    <col min="2565" max="2565" width="13.140625" style="81" customWidth="1"/>
    <col min="2566" max="2566" width="12.42578125" style="81" customWidth="1"/>
    <col min="2567" max="2567" width="14.42578125" style="81" customWidth="1"/>
    <col min="2568" max="2799" width="10.42578125" style="81" customWidth="1"/>
    <col min="2800" max="2815" width="9.140625" style="81"/>
    <col min="2816" max="2816" width="52.42578125" style="81" customWidth="1"/>
    <col min="2817" max="2818" width="10.42578125" style="81" customWidth="1"/>
    <col min="2819" max="2819" width="13.85546875" style="81" customWidth="1"/>
    <col min="2820" max="2820" width="12.42578125" style="81" customWidth="1"/>
    <col min="2821" max="2821" width="13.140625" style="81" customWidth="1"/>
    <col min="2822" max="2822" width="12.42578125" style="81" customWidth="1"/>
    <col min="2823" max="2823" width="14.42578125" style="81" customWidth="1"/>
    <col min="2824" max="3055" width="10.42578125" style="81" customWidth="1"/>
    <col min="3056" max="3071" width="9.140625" style="81"/>
    <col min="3072" max="3072" width="52.42578125" style="81" customWidth="1"/>
    <col min="3073" max="3074" width="10.42578125" style="81" customWidth="1"/>
    <col min="3075" max="3075" width="13.85546875" style="81" customWidth="1"/>
    <col min="3076" max="3076" width="12.42578125" style="81" customWidth="1"/>
    <col min="3077" max="3077" width="13.140625" style="81" customWidth="1"/>
    <col min="3078" max="3078" width="12.42578125" style="81" customWidth="1"/>
    <col min="3079" max="3079" width="14.42578125" style="81" customWidth="1"/>
    <col min="3080" max="3311" width="10.42578125" style="81" customWidth="1"/>
    <col min="3312" max="3327" width="9.140625" style="81"/>
    <col min="3328" max="3328" width="52.42578125" style="81" customWidth="1"/>
    <col min="3329" max="3330" width="10.42578125" style="81" customWidth="1"/>
    <col min="3331" max="3331" width="13.85546875" style="81" customWidth="1"/>
    <col min="3332" max="3332" width="12.42578125" style="81" customWidth="1"/>
    <col min="3333" max="3333" width="13.140625" style="81" customWidth="1"/>
    <col min="3334" max="3334" width="12.42578125" style="81" customWidth="1"/>
    <col min="3335" max="3335" width="14.42578125" style="81" customWidth="1"/>
    <col min="3336" max="3567" width="10.42578125" style="81" customWidth="1"/>
    <col min="3568" max="3583" width="9.140625" style="81"/>
    <col min="3584" max="3584" width="52.42578125" style="81" customWidth="1"/>
    <col min="3585" max="3586" width="10.42578125" style="81" customWidth="1"/>
    <col min="3587" max="3587" width="13.85546875" style="81" customWidth="1"/>
    <col min="3588" max="3588" width="12.42578125" style="81" customWidth="1"/>
    <col min="3589" max="3589" width="13.140625" style="81" customWidth="1"/>
    <col min="3590" max="3590" width="12.42578125" style="81" customWidth="1"/>
    <col min="3591" max="3591" width="14.42578125" style="81" customWidth="1"/>
    <col min="3592" max="3823" width="10.42578125" style="81" customWidth="1"/>
    <col min="3824" max="3839" width="9.140625" style="81"/>
    <col min="3840" max="3840" width="52.42578125" style="81" customWidth="1"/>
    <col min="3841" max="3842" width="10.42578125" style="81" customWidth="1"/>
    <col min="3843" max="3843" width="13.85546875" style="81" customWidth="1"/>
    <col min="3844" max="3844" width="12.42578125" style="81" customWidth="1"/>
    <col min="3845" max="3845" width="13.140625" style="81" customWidth="1"/>
    <col min="3846" max="3846" width="12.42578125" style="81" customWidth="1"/>
    <col min="3847" max="3847" width="14.42578125" style="81" customWidth="1"/>
    <col min="3848" max="4079" width="10.42578125" style="81" customWidth="1"/>
    <col min="4080" max="4095" width="9.140625" style="81"/>
    <col min="4096" max="4096" width="52.42578125" style="81" customWidth="1"/>
    <col min="4097" max="4098" width="10.42578125" style="81" customWidth="1"/>
    <col min="4099" max="4099" width="13.85546875" style="81" customWidth="1"/>
    <col min="4100" max="4100" width="12.42578125" style="81" customWidth="1"/>
    <col min="4101" max="4101" width="13.140625" style="81" customWidth="1"/>
    <col min="4102" max="4102" width="12.42578125" style="81" customWidth="1"/>
    <col min="4103" max="4103" width="14.42578125" style="81" customWidth="1"/>
    <col min="4104" max="4335" width="10.42578125" style="81" customWidth="1"/>
    <col min="4336" max="4351" width="9.140625" style="81"/>
    <col min="4352" max="4352" width="52.42578125" style="81" customWidth="1"/>
    <col min="4353" max="4354" width="10.42578125" style="81" customWidth="1"/>
    <col min="4355" max="4355" width="13.85546875" style="81" customWidth="1"/>
    <col min="4356" max="4356" width="12.42578125" style="81" customWidth="1"/>
    <col min="4357" max="4357" width="13.140625" style="81" customWidth="1"/>
    <col min="4358" max="4358" width="12.42578125" style="81" customWidth="1"/>
    <col min="4359" max="4359" width="14.42578125" style="81" customWidth="1"/>
    <col min="4360" max="4591" width="10.42578125" style="81" customWidth="1"/>
    <col min="4592" max="4607" width="9.140625" style="81"/>
    <col min="4608" max="4608" width="52.42578125" style="81" customWidth="1"/>
    <col min="4609" max="4610" width="10.42578125" style="81" customWidth="1"/>
    <col min="4611" max="4611" width="13.85546875" style="81" customWidth="1"/>
    <col min="4612" max="4612" width="12.42578125" style="81" customWidth="1"/>
    <col min="4613" max="4613" width="13.140625" style="81" customWidth="1"/>
    <col min="4614" max="4614" width="12.42578125" style="81" customWidth="1"/>
    <col min="4615" max="4615" width="14.42578125" style="81" customWidth="1"/>
    <col min="4616" max="4847" width="10.42578125" style="81" customWidth="1"/>
    <col min="4848" max="4863" width="9.140625" style="81"/>
    <col min="4864" max="4864" width="52.42578125" style="81" customWidth="1"/>
    <col min="4865" max="4866" width="10.42578125" style="81" customWidth="1"/>
    <col min="4867" max="4867" width="13.85546875" style="81" customWidth="1"/>
    <col min="4868" max="4868" width="12.42578125" style="81" customWidth="1"/>
    <col min="4869" max="4869" width="13.140625" style="81" customWidth="1"/>
    <col min="4870" max="4870" width="12.42578125" style="81" customWidth="1"/>
    <col min="4871" max="4871" width="14.42578125" style="81" customWidth="1"/>
    <col min="4872" max="5103" width="10.42578125" style="81" customWidth="1"/>
    <col min="5104" max="5119" width="9.140625" style="81"/>
    <col min="5120" max="5120" width="52.42578125" style="81" customWidth="1"/>
    <col min="5121" max="5122" width="10.42578125" style="81" customWidth="1"/>
    <col min="5123" max="5123" width="13.85546875" style="81" customWidth="1"/>
    <col min="5124" max="5124" width="12.42578125" style="81" customWidth="1"/>
    <col min="5125" max="5125" width="13.140625" style="81" customWidth="1"/>
    <col min="5126" max="5126" width="12.42578125" style="81" customWidth="1"/>
    <col min="5127" max="5127" width="14.42578125" style="81" customWidth="1"/>
    <col min="5128" max="5359" width="10.42578125" style="81" customWidth="1"/>
    <col min="5360" max="5375" width="9.140625" style="81"/>
    <col min="5376" max="5376" width="52.42578125" style="81" customWidth="1"/>
    <col min="5377" max="5378" width="10.42578125" style="81" customWidth="1"/>
    <col min="5379" max="5379" width="13.85546875" style="81" customWidth="1"/>
    <col min="5380" max="5380" width="12.42578125" style="81" customWidth="1"/>
    <col min="5381" max="5381" width="13.140625" style="81" customWidth="1"/>
    <col min="5382" max="5382" width="12.42578125" style="81" customWidth="1"/>
    <col min="5383" max="5383" width="14.42578125" style="81" customWidth="1"/>
    <col min="5384" max="5615" width="10.42578125" style="81" customWidth="1"/>
    <col min="5616" max="5631" width="9.140625" style="81"/>
    <col min="5632" max="5632" width="52.42578125" style="81" customWidth="1"/>
    <col min="5633" max="5634" width="10.42578125" style="81" customWidth="1"/>
    <col min="5635" max="5635" width="13.85546875" style="81" customWidth="1"/>
    <col min="5636" max="5636" width="12.42578125" style="81" customWidth="1"/>
    <col min="5637" max="5637" width="13.140625" style="81" customWidth="1"/>
    <col min="5638" max="5638" width="12.42578125" style="81" customWidth="1"/>
    <col min="5639" max="5639" width="14.42578125" style="81" customWidth="1"/>
    <col min="5640" max="5871" width="10.42578125" style="81" customWidth="1"/>
    <col min="5872" max="5887" width="9.140625" style="81"/>
    <col min="5888" max="5888" width="52.42578125" style="81" customWidth="1"/>
    <col min="5889" max="5890" width="10.42578125" style="81" customWidth="1"/>
    <col min="5891" max="5891" width="13.85546875" style="81" customWidth="1"/>
    <col min="5892" max="5892" width="12.42578125" style="81" customWidth="1"/>
    <col min="5893" max="5893" width="13.140625" style="81" customWidth="1"/>
    <col min="5894" max="5894" width="12.42578125" style="81" customWidth="1"/>
    <col min="5895" max="5895" width="14.42578125" style="81" customWidth="1"/>
    <col min="5896" max="6127" width="10.42578125" style="81" customWidth="1"/>
    <col min="6128" max="6143" width="9.140625" style="81"/>
    <col min="6144" max="6144" width="52.42578125" style="81" customWidth="1"/>
    <col min="6145" max="6146" width="10.42578125" style="81" customWidth="1"/>
    <col min="6147" max="6147" width="13.85546875" style="81" customWidth="1"/>
    <col min="6148" max="6148" width="12.42578125" style="81" customWidth="1"/>
    <col min="6149" max="6149" width="13.140625" style="81" customWidth="1"/>
    <col min="6150" max="6150" width="12.42578125" style="81" customWidth="1"/>
    <col min="6151" max="6151" width="14.42578125" style="81" customWidth="1"/>
    <col min="6152" max="6383" width="10.42578125" style="81" customWidth="1"/>
    <col min="6384" max="6399" width="9.140625" style="81"/>
    <col min="6400" max="6400" width="52.42578125" style="81" customWidth="1"/>
    <col min="6401" max="6402" width="10.42578125" style="81" customWidth="1"/>
    <col min="6403" max="6403" width="13.85546875" style="81" customWidth="1"/>
    <col min="6404" max="6404" width="12.42578125" style="81" customWidth="1"/>
    <col min="6405" max="6405" width="13.140625" style="81" customWidth="1"/>
    <col min="6406" max="6406" width="12.42578125" style="81" customWidth="1"/>
    <col min="6407" max="6407" width="14.42578125" style="81" customWidth="1"/>
    <col min="6408" max="6639" width="10.42578125" style="81" customWidth="1"/>
    <col min="6640" max="6655" width="9.140625" style="81"/>
    <col min="6656" max="6656" width="52.42578125" style="81" customWidth="1"/>
    <col min="6657" max="6658" width="10.42578125" style="81" customWidth="1"/>
    <col min="6659" max="6659" width="13.85546875" style="81" customWidth="1"/>
    <col min="6660" max="6660" width="12.42578125" style="81" customWidth="1"/>
    <col min="6661" max="6661" width="13.140625" style="81" customWidth="1"/>
    <col min="6662" max="6662" width="12.42578125" style="81" customWidth="1"/>
    <col min="6663" max="6663" width="14.42578125" style="81" customWidth="1"/>
    <col min="6664" max="6895" width="10.42578125" style="81" customWidth="1"/>
    <col min="6896" max="6911" width="9.140625" style="81"/>
    <col min="6912" max="6912" width="52.42578125" style="81" customWidth="1"/>
    <col min="6913" max="6914" width="10.42578125" style="81" customWidth="1"/>
    <col min="6915" max="6915" width="13.85546875" style="81" customWidth="1"/>
    <col min="6916" max="6916" width="12.42578125" style="81" customWidth="1"/>
    <col min="6917" max="6917" width="13.140625" style="81" customWidth="1"/>
    <col min="6918" max="6918" width="12.42578125" style="81" customWidth="1"/>
    <col min="6919" max="6919" width="14.42578125" style="81" customWidth="1"/>
    <col min="6920" max="7151" width="10.42578125" style="81" customWidth="1"/>
    <col min="7152" max="7167" width="9.140625" style="81"/>
    <col min="7168" max="7168" width="52.42578125" style="81" customWidth="1"/>
    <col min="7169" max="7170" width="10.42578125" style="81" customWidth="1"/>
    <col min="7171" max="7171" width="13.85546875" style="81" customWidth="1"/>
    <col min="7172" max="7172" width="12.42578125" style="81" customWidth="1"/>
    <col min="7173" max="7173" width="13.140625" style="81" customWidth="1"/>
    <col min="7174" max="7174" width="12.42578125" style="81" customWidth="1"/>
    <col min="7175" max="7175" width="14.42578125" style="81" customWidth="1"/>
    <col min="7176" max="7407" width="10.42578125" style="81" customWidth="1"/>
    <col min="7408" max="7423" width="9.140625" style="81"/>
    <col min="7424" max="7424" width="52.42578125" style="81" customWidth="1"/>
    <col min="7425" max="7426" width="10.42578125" style="81" customWidth="1"/>
    <col min="7427" max="7427" width="13.85546875" style="81" customWidth="1"/>
    <col min="7428" max="7428" width="12.42578125" style="81" customWidth="1"/>
    <col min="7429" max="7429" width="13.140625" style="81" customWidth="1"/>
    <col min="7430" max="7430" width="12.42578125" style="81" customWidth="1"/>
    <col min="7431" max="7431" width="14.42578125" style="81" customWidth="1"/>
    <col min="7432" max="7663" width="10.42578125" style="81" customWidth="1"/>
    <col min="7664" max="7679" width="9.140625" style="81"/>
    <col min="7680" max="7680" width="52.42578125" style="81" customWidth="1"/>
    <col min="7681" max="7682" width="10.42578125" style="81" customWidth="1"/>
    <col min="7683" max="7683" width="13.85546875" style="81" customWidth="1"/>
    <col min="7684" max="7684" width="12.42578125" style="81" customWidth="1"/>
    <col min="7685" max="7685" width="13.140625" style="81" customWidth="1"/>
    <col min="7686" max="7686" width="12.42578125" style="81" customWidth="1"/>
    <col min="7687" max="7687" width="14.42578125" style="81" customWidth="1"/>
    <col min="7688" max="7919" width="10.42578125" style="81" customWidth="1"/>
    <col min="7920" max="7935" width="9.140625" style="81"/>
    <col min="7936" max="7936" width="52.42578125" style="81" customWidth="1"/>
    <col min="7937" max="7938" width="10.42578125" style="81" customWidth="1"/>
    <col min="7939" max="7939" width="13.85546875" style="81" customWidth="1"/>
    <col min="7940" max="7940" width="12.42578125" style="81" customWidth="1"/>
    <col min="7941" max="7941" width="13.140625" style="81" customWidth="1"/>
    <col min="7942" max="7942" width="12.42578125" style="81" customWidth="1"/>
    <col min="7943" max="7943" width="14.42578125" style="81" customWidth="1"/>
    <col min="7944" max="8175" width="10.42578125" style="81" customWidth="1"/>
    <col min="8176" max="8191" width="9.140625" style="81"/>
    <col min="8192" max="8192" width="52.42578125" style="81" customWidth="1"/>
    <col min="8193" max="8194" width="10.42578125" style="81" customWidth="1"/>
    <col min="8195" max="8195" width="13.85546875" style="81" customWidth="1"/>
    <col min="8196" max="8196" width="12.42578125" style="81" customWidth="1"/>
    <col min="8197" max="8197" width="13.140625" style="81" customWidth="1"/>
    <col min="8198" max="8198" width="12.42578125" style="81" customWidth="1"/>
    <col min="8199" max="8199" width="14.42578125" style="81" customWidth="1"/>
    <col min="8200" max="8431" width="10.42578125" style="81" customWidth="1"/>
    <col min="8432" max="8447" width="9.140625" style="81"/>
    <col min="8448" max="8448" width="52.42578125" style="81" customWidth="1"/>
    <col min="8449" max="8450" width="10.42578125" style="81" customWidth="1"/>
    <col min="8451" max="8451" width="13.85546875" style="81" customWidth="1"/>
    <col min="8452" max="8452" width="12.42578125" style="81" customWidth="1"/>
    <col min="8453" max="8453" width="13.140625" style="81" customWidth="1"/>
    <col min="8454" max="8454" width="12.42578125" style="81" customWidth="1"/>
    <col min="8455" max="8455" width="14.42578125" style="81" customWidth="1"/>
    <col min="8456" max="8687" width="10.42578125" style="81" customWidth="1"/>
    <col min="8688" max="8703" width="9.140625" style="81"/>
    <col min="8704" max="8704" width="52.42578125" style="81" customWidth="1"/>
    <col min="8705" max="8706" width="10.42578125" style="81" customWidth="1"/>
    <col min="8707" max="8707" width="13.85546875" style="81" customWidth="1"/>
    <col min="8708" max="8708" width="12.42578125" style="81" customWidth="1"/>
    <col min="8709" max="8709" width="13.140625" style="81" customWidth="1"/>
    <col min="8710" max="8710" width="12.42578125" style="81" customWidth="1"/>
    <col min="8711" max="8711" width="14.42578125" style="81" customWidth="1"/>
    <col min="8712" max="8943" width="10.42578125" style="81" customWidth="1"/>
    <col min="8944" max="8959" width="9.140625" style="81"/>
    <col min="8960" max="8960" width="52.42578125" style="81" customWidth="1"/>
    <col min="8961" max="8962" width="10.42578125" style="81" customWidth="1"/>
    <col min="8963" max="8963" width="13.85546875" style="81" customWidth="1"/>
    <col min="8964" max="8964" width="12.42578125" style="81" customWidth="1"/>
    <col min="8965" max="8965" width="13.140625" style="81" customWidth="1"/>
    <col min="8966" max="8966" width="12.42578125" style="81" customWidth="1"/>
    <col min="8967" max="8967" width="14.42578125" style="81" customWidth="1"/>
    <col min="8968" max="9199" width="10.42578125" style="81" customWidth="1"/>
    <col min="9200" max="9215" width="9.140625" style="81"/>
    <col min="9216" max="9216" width="52.42578125" style="81" customWidth="1"/>
    <col min="9217" max="9218" width="10.42578125" style="81" customWidth="1"/>
    <col min="9219" max="9219" width="13.85546875" style="81" customWidth="1"/>
    <col min="9220" max="9220" width="12.42578125" style="81" customWidth="1"/>
    <col min="9221" max="9221" width="13.140625" style="81" customWidth="1"/>
    <col min="9222" max="9222" width="12.42578125" style="81" customWidth="1"/>
    <col min="9223" max="9223" width="14.42578125" style="81" customWidth="1"/>
    <col min="9224" max="9455" width="10.42578125" style="81" customWidth="1"/>
    <col min="9456" max="9471" width="9.140625" style="81"/>
    <col min="9472" max="9472" width="52.42578125" style="81" customWidth="1"/>
    <col min="9473" max="9474" width="10.42578125" style="81" customWidth="1"/>
    <col min="9475" max="9475" width="13.85546875" style="81" customWidth="1"/>
    <col min="9476" max="9476" width="12.42578125" style="81" customWidth="1"/>
    <col min="9477" max="9477" width="13.140625" style="81" customWidth="1"/>
    <col min="9478" max="9478" width="12.42578125" style="81" customWidth="1"/>
    <col min="9479" max="9479" width="14.42578125" style="81" customWidth="1"/>
    <col min="9480" max="9711" width="10.42578125" style="81" customWidth="1"/>
    <col min="9712" max="9727" width="9.140625" style="81"/>
    <col min="9728" max="9728" width="52.42578125" style="81" customWidth="1"/>
    <col min="9729" max="9730" width="10.42578125" style="81" customWidth="1"/>
    <col min="9731" max="9731" width="13.85546875" style="81" customWidth="1"/>
    <col min="9732" max="9732" width="12.42578125" style="81" customWidth="1"/>
    <col min="9733" max="9733" width="13.140625" style="81" customWidth="1"/>
    <col min="9734" max="9734" width="12.42578125" style="81" customWidth="1"/>
    <col min="9735" max="9735" width="14.42578125" style="81" customWidth="1"/>
    <col min="9736" max="9967" width="10.42578125" style="81" customWidth="1"/>
    <col min="9968" max="9983" width="9.140625" style="81"/>
    <col min="9984" max="9984" width="52.42578125" style="81" customWidth="1"/>
    <col min="9985" max="9986" width="10.42578125" style="81" customWidth="1"/>
    <col min="9987" max="9987" width="13.85546875" style="81" customWidth="1"/>
    <col min="9988" max="9988" width="12.42578125" style="81" customWidth="1"/>
    <col min="9989" max="9989" width="13.140625" style="81" customWidth="1"/>
    <col min="9990" max="9990" width="12.42578125" style="81" customWidth="1"/>
    <col min="9991" max="9991" width="14.42578125" style="81" customWidth="1"/>
    <col min="9992" max="10223" width="10.42578125" style="81" customWidth="1"/>
    <col min="10224" max="10239" width="9.140625" style="81"/>
    <col min="10240" max="10240" width="52.42578125" style="81" customWidth="1"/>
    <col min="10241" max="10242" width="10.42578125" style="81" customWidth="1"/>
    <col min="10243" max="10243" width="13.85546875" style="81" customWidth="1"/>
    <col min="10244" max="10244" width="12.42578125" style="81" customWidth="1"/>
    <col min="10245" max="10245" width="13.140625" style="81" customWidth="1"/>
    <col min="10246" max="10246" width="12.42578125" style="81" customWidth="1"/>
    <col min="10247" max="10247" width="14.42578125" style="81" customWidth="1"/>
    <col min="10248" max="10479" width="10.42578125" style="81" customWidth="1"/>
    <col min="10480" max="10495" width="9.140625" style="81"/>
    <col min="10496" max="10496" width="52.42578125" style="81" customWidth="1"/>
    <col min="10497" max="10498" width="10.42578125" style="81" customWidth="1"/>
    <col min="10499" max="10499" width="13.85546875" style="81" customWidth="1"/>
    <col min="10500" max="10500" width="12.42578125" style="81" customWidth="1"/>
    <col min="10501" max="10501" width="13.140625" style="81" customWidth="1"/>
    <col min="10502" max="10502" width="12.42578125" style="81" customWidth="1"/>
    <col min="10503" max="10503" width="14.42578125" style="81" customWidth="1"/>
    <col min="10504" max="10735" width="10.42578125" style="81" customWidth="1"/>
    <col min="10736" max="10751" width="9.140625" style="81"/>
    <col min="10752" max="10752" width="52.42578125" style="81" customWidth="1"/>
    <col min="10753" max="10754" width="10.42578125" style="81" customWidth="1"/>
    <col min="10755" max="10755" width="13.85546875" style="81" customWidth="1"/>
    <col min="10756" max="10756" width="12.42578125" style="81" customWidth="1"/>
    <col min="10757" max="10757" width="13.140625" style="81" customWidth="1"/>
    <col min="10758" max="10758" width="12.42578125" style="81" customWidth="1"/>
    <col min="10759" max="10759" width="14.42578125" style="81" customWidth="1"/>
    <col min="10760" max="10991" width="10.42578125" style="81" customWidth="1"/>
    <col min="10992" max="11007" width="9.140625" style="81"/>
    <col min="11008" max="11008" width="52.42578125" style="81" customWidth="1"/>
    <col min="11009" max="11010" width="10.42578125" style="81" customWidth="1"/>
    <col min="11011" max="11011" width="13.85546875" style="81" customWidth="1"/>
    <col min="11012" max="11012" width="12.42578125" style="81" customWidth="1"/>
    <col min="11013" max="11013" width="13.140625" style="81" customWidth="1"/>
    <col min="11014" max="11014" width="12.42578125" style="81" customWidth="1"/>
    <col min="11015" max="11015" width="14.42578125" style="81" customWidth="1"/>
    <col min="11016" max="11247" width="10.42578125" style="81" customWidth="1"/>
    <col min="11248" max="11263" width="9.140625" style="81"/>
    <col min="11264" max="11264" width="52.42578125" style="81" customWidth="1"/>
    <col min="11265" max="11266" width="10.42578125" style="81" customWidth="1"/>
    <col min="11267" max="11267" width="13.85546875" style="81" customWidth="1"/>
    <col min="11268" max="11268" width="12.42578125" style="81" customWidth="1"/>
    <col min="11269" max="11269" width="13.140625" style="81" customWidth="1"/>
    <col min="11270" max="11270" width="12.42578125" style="81" customWidth="1"/>
    <col min="11271" max="11271" width="14.42578125" style="81" customWidth="1"/>
    <col min="11272" max="11503" width="10.42578125" style="81" customWidth="1"/>
    <col min="11504" max="11519" width="9.140625" style="81"/>
    <col min="11520" max="11520" width="52.42578125" style="81" customWidth="1"/>
    <col min="11521" max="11522" width="10.42578125" style="81" customWidth="1"/>
    <col min="11523" max="11523" width="13.85546875" style="81" customWidth="1"/>
    <col min="11524" max="11524" width="12.42578125" style="81" customWidth="1"/>
    <col min="11525" max="11525" width="13.140625" style="81" customWidth="1"/>
    <col min="11526" max="11526" width="12.42578125" style="81" customWidth="1"/>
    <col min="11527" max="11527" width="14.42578125" style="81" customWidth="1"/>
    <col min="11528" max="11759" width="10.42578125" style="81" customWidth="1"/>
    <col min="11760" max="11775" width="9.140625" style="81"/>
    <col min="11776" max="11776" width="52.42578125" style="81" customWidth="1"/>
    <col min="11777" max="11778" width="10.42578125" style="81" customWidth="1"/>
    <col min="11779" max="11779" width="13.85546875" style="81" customWidth="1"/>
    <col min="11780" max="11780" width="12.42578125" style="81" customWidth="1"/>
    <col min="11781" max="11781" width="13.140625" style="81" customWidth="1"/>
    <col min="11782" max="11782" width="12.42578125" style="81" customWidth="1"/>
    <col min="11783" max="11783" width="14.42578125" style="81" customWidth="1"/>
    <col min="11784" max="12015" width="10.42578125" style="81" customWidth="1"/>
    <col min="12016" max="12031" width="9.140625" style="81"/>
    <col min="12032" max="12032" width="52.42578125" style="81" customWidth="1"/>
    <col min="12033" max="12034" width="10.42578125" style="81" customWidth="1"/>
    <col min="12035" max="12035" width="13.85546875" style="81" customWidth="1"/>
    <col min="12036" max="12036" width="12.42578125" style="81" customWidth="1"/>
    <col min="12037" max="12037" width="13.140625" style="81" customWidth="1"/>
    <col min="12038" max="12038" width="12.42578125" style="81" customWidth="1"/>
    <col min="12039" max="12039" width="14.42578125" style="81" customWidth="1"/>
    <col min="12040" max="12271" width="10.42578125" style="81" customWidth="1"/>
    <col min="12272" max="12287" width="9.140625" style="81"/>
    <col min="12288" max="12288" width="52.42578125" style="81" customWidth="1"/>
    <col min="12289" max="12290" width="10.42578125" style="81" customWidth="1"/>
    <col min="12291" max="12291" width="13.85546875" style="81" customWidth="1"/>
    <col min="12292" max="12292" width="12.42578125" style="81" customWidth="1"/>
    <col min="12293" max="12293" width="13.140625" style="81" customWidth="1"/>
    <col min="12294" max="12294" width="12.42578125" style="81" customWidth="1"/>
    <col min="12295" max="12295" width="14.42578125" style="81" customWidth="1"/>
    <col min="12296" max="12527" width="10.42578125" style="81" customWidth="1"/>
    <col min="12528" max="12543" width="9.140625" style="81"/>
    <col min="12544" max="12544" width="52.42578125" style="81" customWidth="1"/>
    <col min="12545" max="12546" width="10.42578125" style="81" customWidth="1"/>
    <col min="12547" max="12547" width="13.85546875" style="81" customWidth="1"/>
    <col min="12548" max="12548" width="12.42578125" style="81" customWidth="1"/>
    <col min="12549" max="12549" width="13.140625" style="81" customWidth="1"/>
    <col min="12550" max="12550" width="12.42578125" style="81" customWidth="1"/>
    <col min="12551" max="12551" width="14.42578125" style="81" customWidth="1"/>
    <col min="12552" max="12783" width="10.42578125" style="81" customWidth="1"/>
    <col min="12784" max="12799" width="9.140625" style="81"/>
    <col min="12800" max="12800" width="52.42578125" style="81" customWidth="1"/>
    <col min="12801" max="12802" width="10.42578125" style="81" customWidth="1"/>
    <col min="12803" max="12803" width="13.85546875" style="81" customWidth="1"/>
    <col min="12804" max="12804" width="12.42578125" style="81" customWidth="1"/>
    <col min="12805" max="12805" width="13.140625" style="81" customWidth="1"/>
    <col min="12806" max="12806" width="12.42578125" style="81" customWidth="1"/>
    <col min="12807" max="12807" width="14.42578125" style="81" customWidth="1"/>
    <col min="12808" max="13039" width="10.42578125" style="81" customWidth="1"/>
    <col min="13040" max="13055" width="9.140625" style="81"/>
    <col min="13056" max="13056" width="52.42578125" style="81" customWidth="1"/>
    <col min="13057" max="13058" width="10.42578125" style="81" customWidth="1"/>
    <col min="13059" max="13059" width="13.85546875" style="81" customWidth="1"/>
    <col min="13060" max="13060" width="12.42578125" style="81" customWidth="1"/>
    <col min="13061" max="13061" width="13.140625" style="81" customWidth="1"/>
    <col min="13062" max="13062" width="12.42578125" style="81" customWidth="1"/>
    <col min="13063" max="13063" width="14.42578125" style="81" customWidth="1"/>
    <col min="13064" max="13295" width="10.42578125" style="81" customWidth="1"/>
    <col min="13296" max="13311" width="9.140625" style="81"/>
    <col min="13312" max="13312" width="52.42578125" style="81" customWidth="1"/>
    <col min="13313" max="13314" width="10.42578125" style="81" customWidth="1"/>
    <col min="13315" max="13315" width="13.85546875" style="81" customWidth="1"/>
    <col min="13316" max="13316" width="12.42578125" style="81" customWidth="1"/>
    <col min="13317" max="13317" width="13.140625" style="81" customWidth="1"/>
    <col min="13318" max="13318" width="12.42578125" style="81" customWidth="1"/>
    <col min="13319" max="13319" width="14.42578125" style="81" customWidth="1"/>
    <col min="13320" max="13551" width="10.42578125" style="81" customWidth="1"/>
    <col min="13552" max="13567" width="9.140625" style="81"/>
    <col min="13568" max="13568" width="52.42578125" style="81" customWidth="1"/>
    <col min="13569" max="13570" width="10.42578125" style="81" customWidth="1"/>
    <col min="13571" max="13571" width="13.85546875" style="81" customWidth="1"/>
    <col min="13572" max="13572" width="12.42578125" style="81" customWidth="1"/>
    <col min="13573" max="13573" width="13.140625" style="81" customWidth="1"/>
    <col min="13574" max="13574" width="12.42578125" style="81" customWidth="1"/>
    <col min="13575" max="13575" width="14.42578125" style="81" customWidth="1"/>
    <col min="13576" max="13807" width="10.42578125" style="81" customWidth="1"/>
    <col min="13808" max="13823" width="9.140625" style="81"/>
    <col min="13824" max="13824" width="52.42578125" style="81" customWidth="1"/>
    <col min="13825" max="13826" width="10.42578125" style="81" customWidth="1"/>
    <col min="13827" max="13827" width="13.85546875" style="81" customWidth="1"/>
    <col min="13828" max="13828" width="12.42578125" style="81" customWidth="1"/>
    <col min="13829" max="13829" width="13.140625" style="81" customWidth="1"/>
    <col min="13830" max="13830" width="12.42578125" style="81" customWidth="1"/>
    <col min="13831" max="13831" width="14.42578125" style="81" customWidth="1"/>
    <col min="13832" max="14063" width="10.42578125" style="81" customWidth="1"/>
    <col min="14064" max="14079" width="9.140625" style="81"/>
    <col min="14080" max="14080" width="52.42578125" style="81" customWidth="1"/>
    <col min="14081" max="14082" width="10.42578125" style="81" customWidth="1"/>
    <col min="14083" max="14083" width="13.85546875" style="81" customWidth="1"/>
    <col min="14084" max="14084" width="12.42578125" style="81" customWidth="1"/>
    <col min="14085" max="14085" width="13.140625" style="81" customWidth="1"/>
    <col min="14086" max="14086" width="12.42578125" style="81" customWidth="1"/>
    <col min="14087" max="14087" width="14.42578125" style="81" customWidth="1"/>
    <col min="14088" max="14319" width="10.42578125" style="81" customWidth="1"/>
    <col min="14320" max="14335" width="9.140625" style="81"/>
    <col min="14336" max="14336" width="52.42578125" style="81" customWidth="1"/>
    <col min="14337" max="14338" width="10.42578125" style="81" customWidth="1"/>
    <col min="14339" max="14339" width="13.85546875" style="81" customWidth="1"/>
    <col min="14340" max="14340" width="12.42578125" style="81" customWidth="1"/>
    <col min="14341" max="14341" width="13.140625" style="81" customWidth="1"/>
    <col min="14342" max="14342" width="12.42578125" style="81" customWidth="1"/>
    <col min="14343" max="14343" width="14.42578125" style="81" customWidth="1"/>
    <col min="14344" max="14575" width="10.42578125" style="81" customWidth="1"/>
    <col min="14576" max="14591" width="9.140625" style="81"/>
    <col min="14592" max="14592" width="52.42578125" style="81" customWidth="1"/>
    <col min="14593" max="14594" width="10.42578125" style="81" customWidth="1"/>
    <col min="14595" max="14595" width="13.85546875" style="81" customWidth="1"/>
    <col min="14596" max="14596" width="12.42578125" style="81" customWidth="1"/>
    <col min="14597" max="14597" width="13.140625" style="81" customWidth="1"/>
    <col min="14598" max="14598" width="12.42578125" style="81" customWidth="1"/>
    <col min="14599" max="14599" width="14.42578125" style="81" customWidth="1"/>
    <col min="14600" max="14831" width="10.42578125" style="81" customWidth="1"/>
    <col min="14832" max="14847" width="9.140625" style="81"/>
    <col min="14848" max="14848" width="52.42578125" style="81" customWidth="1"/>
    <col min="14849" max="14850" width="10.42578125" style="81" customWidth="1"/>
    <col min="14851" max="14851" width="13.85546875" style="81" customWidth="1"/>
    <col min="14852" max="14852" width="12.42578125" style="81" customWidth="1"/>
    <col min="14853" max="14853" width="13.140625" style="81" customWidth="1"/>
    <col min="14854" max="14854" width="12.42578125" style="81" customWidth="1"/>
    <col min="14855" max="14855" width="14.42578125" style="81" customWidth="1"/>
    <col min="14856" max="15087" width="10.42578125" style="81" customWidth="1"/>
    <col min="15088" max="15103" width="9.140625" style="81"/>
    <col min="15104" max="15104" width="52.42578125" style="81" customWidth="1"/>
    <col min="15105" max="15106" width="10.42578125" style="81" customWidth="1"/>
    <col min="15107" max="15107" width="13.85546875" style="81" customWidth="1"/>
    <col min="15108" max="15108" width="12.42578125" style="81" customWidth="1"/>
    <col min="15109" max="15109" width="13.140625" style="81" customWidth="1"/>
    <col min="15110" max="15110" width="12.42578125" style="81" customWidth="1"/>
    <col min="15111" max="15111" width="14.42578125" style="81" customWidth="1"/>
    <col min="15112" max="15343" width="10.42578125" style="81" customWidth="1"/>
    <col min="15344" max="15359" width="9.140625" style="81"/>
    <col min="15360" max="15360" width="52.42578125" style="81" customWidth="1"/>
    <col min="15361" max="15362" width="10.42578125" style="81" customWidth="1"/>
    <col min="15363" max="15363" width="13.85546875" style="81" customWidth="1"/>
    <col min="15364" max="15364" width="12.42578125" style="81" customWidth="1"/>
    <col min="15365" max="15365" width="13.140625" style="81" customWidth="1"/>
    <col min="15366" max="15366" width="12.42578125" style="81" customWidth="1"/>
    <col min="15367" max="15367" width="14.42578125" style="81" customWidth="1"/>
    <col min="15368" max="15599" width="10.42578125" style="81" customWidth="1"/>
    <col min="15600" max="15615" width="9.140625" style="81"/>
    <col min="15616" max="15616" width="52.42578125" style="81" customWidth="1"/>
    <col min="15617" max="15618" width="10.42578125" style="81" customWidth="1"/>
    <col min="15619" max="15619" width="13.85546875" style="81" customWidth="1"/>
    <col min="15620" max="15620" width="12.42578125" style="81" customWidth="1"/>
    <col min="15621" max="15621" width="13.140625" style="81" customWidth="1"/>
    <col min="15622" max="15622" width="12.42578125" style="81" customWidth="1"/>
    <col min="15623" max="15623" width="14.42578125" style="81" customWidth="1"/>
    <col min="15624" max="15855" width="10.42578125" style="81" customWidth="1"/>
    <col min="15856" max="15871" width="9.140625" style="81"/>
    <col min="15872" max="15872" width="52.42578125" style="81" customWidth="1"/>
    <col min="15873" max="15874" width="10.42578125" style="81" customWidth="1"/>
    <col min="15875" max="15875" width="13.85546875" style="81" customWidth="1"/>
    <col min="15876" max="15876" width="12.42578125" style="81" customWidth="1"/>
    <col min="15877" max="15877" width="13.140625" style="81" customWidth="1"/>
    <col min="15878" max="15878" width="12.42578125" style="81" customWidth="1"/>
    <col min="15879" max="15879" width="14.42578125" style="81" customWidth="1"/>
    <col min="15880" max="16111" width="10.42578125" style="81" customWidth="1"/>
    <col min="16112" max="16127" width="9.140625" style="81"/>
    <col min="16128" max="16128" width="52.42578125" style="81" customWidth="1"/>
    <col min="16129" max="16130" width="10.42578125" style="81" customWidth="1"/>
    <col min="16131" max="16131" width="13.85546875" style="81" customWidth="1"/>
    <col min="16132" max="16132" width="12.42578125" style="81" customWidth="1"/>
    <col min="16133" max="16133" width="13.140625" style="81" customWidth="1"/>
    <col min="16134" max="16134" width="12.42578125" style="81" customWidth="1"/>
    <col min="16135" max="16135" width="14.42578125" style="81" customWidth="1"/>
    <col min="16136" max="16367" width="10.42578125" style="81" customWidth="1"/>
    <col min="16368" max="16384" width="9.140625" style="81"/>
  </cols>
  <sheetData>
    <row r="1" spans="1:9" s="80" customFormat="1">
      <c r="A1" s="79"/>
      <c r="G1" s="102"/>
      <c r="H1" s="349" t="s">
        <v>54</v>
      </c>
    </row>
    <row r="2" spans="1:9" s="80" customFormat="1" ht="33.75" customHeight="1">
      <c r="A2" s="99" t="s">
        <v>118</v>
      </c>
      <c r="B2" s="99"/>
      <c r="C2" s="99"/>
      <c r="D2" s="99"/>
      <c r="E2" s="99"/>
      <c r="F2" s="99"/>
      <c r="G2" s="99"/>
      <c r="H2" s="82"/>
      <c r="I2" s="82"/>
    </row>
    <row r="3" spans="1:9" s="80" customFormat="1" ht="25.5" customHeight="1">
      <c r="A3" s="72" t="s">
        <v>45</v>
      </c>
      <c r="B3" s="100" t="s">
        <v>89</v>
      </c>
      <c r="C3" s="101"/>
      <c r="D3" s="94"/>
      <c r="E3" s="94"/>
      <c r="F3" s="94"/>
      <c r="G3" s="94"/>
      <c r="H3" s="82"/>
      <c r="I3" s="82"/>
    </row>
    <row r="4" spans="1:9" s="80" customFormat="1" ht="15" customHeight="1">
      <c r="A4" s="83"/>
      <c r="B4" s="83"/>
      <c r="C4" s="83"/>
      <c r="D4" s="83"/>
      <c r="E4" s="83"/>
      <c r="F4" s="83"/>
      <c r="H4" s="88" t="s">
        <v>18</v>
      </c>
      <c r="I4" s="82"/>
    </row>
    <row r="5" spans="1:9" s="80" customFormat="1" ht="36.75" customHeight="1">
      <c r="A5" s="373" t="s">
        <v>53</v>
      </c>
      <c r="B5" s="374" t="s">
        <v>104</v>
      </c>
      <c r="C5" s="373" t="s">
        <v>233</v>
      </c>
      <c r="D5" s="375" t="s">
        <v>234</v>
      </c>
      <c r="E5" s="376" t="s">
        <v>203</v>
      </c>
      <c r="F5" s="377" t="s">
        <v>204</v>
      </c>
      <c r="G5" s="376" t="s">
        <v>88</v>
      </c>
      <c r="H5" s="378"/>
      <c r="I5" s="378"/>
    </row>
    <row r="6" spans="1:9" s="80" customFormat="1" ht="55.5" customHeight="1">
      <c r="A6" s="373"/>
      <c r="B6" s="374"/>
      <c r="C6" s="373"/>
      <c r="D6" s="375"/>
      <c r="E6" s="376"/>
      <c r="F6" s="377"/>
      <c r="G6" s="232">
        <v>2026</v>
      </c>
      <c r="H6" s="232">
        <v>2027</v>
      </c>
      <c r="I6" s="232">
        <v>2028</v>
      </c>
    </row>
    <row r="7" spans="1:9" ht="114.75">
      <c r="A7" s="227"/>
      <c r="B7" s="262" t="s">
        <v>118</v>
      </c>
      <c r="C7" s="229">
        <v>7210</v>
      </c>
      <c r="D7" s="259" t="s">
        <v>247</v>
      </c>
      <c r="E7" s="260">
        <v>811827</v>
      </c>
      <c r="F7" s="261">
        <f>F80*F82*F83+F84</f>
        <v>847900.15411800006</v>
      </c>
      <c r="G7" s="261">
        <f t="shared" ref="G7:I7" si="0">G80*G82*G83+G84</f>
        <v>856431.76449600002</v>
      </c>
      <c r="H7" s="261">
        <f t="shared" si="0"/>
        <v>864995.07106799993</v>
      </c>
      <c r="I7" s="261">
        <f t="shared" si="0"/>
        <v>873609.30215999996</v>
      </c>
    </row>
    <row r="8" spans="1:9" ht="229.5">
      <c r="A8" s="244">
        <v>1</v>
      </c>
      <c r="B8" s="245" t="s">
        <v>119</v>
      </c>
      <c r="C8" s="188">
        <v>7215</v>
      </c>
      <c r="D8" s="189" t="s">
        <v>248</v>
      </c>
      <c r="E8" s="246">
        <v>82388</v>
      </c>
      <c r="F8" s="247">
        <v>86685</v>
      </c>
      <c r="G8" s="247">
        <v>87552</v>
      </c>
      <c r="H8" s="247">
        <v>88427</v>
      </c>
      <c r="I8" s="247">
        <v>89312</v>
      </c>
    </row>
    <row r="9" spans="1:9" ht="25.5">
      <c r="A9" s="244">
        <v>2</v>
      </c>
      <c r="B9" s="248" t="s">
        <v>120</v>
      </c>
      <c r="C9" s="188">
        <v>7216</v>
      </c>
      <c r="D9" s="189" t="s">
        <v>249</v>
      </c>
      <c r="E9" s="246">
        <v>30641</v>
      </c>
      <c r="F9" s="247">
        <v>31680</v>
      </c>
      <c r="G9" s="247">
        <v>31997</v>
      </c>
      <c r="H9" s="247">
        <v>32317</v>
      </c>
      <c r="I9" s="247">
        <v>32639</v>
      </c>
    </row>
    <row r="10" spans="1:9" ht="25.5">
      <c r="A10" s="244">
        <v>3</v>
      </c>
      <c r="B10" s="199" t="s">
        <v>121</v>
      </c>
      <c r="C10" s="188">
        <v>7217</v>
      </c>
      <c r="D10" s="189" t="s">
        <v>250</v>
      </c>
      <c r="E10" s="246">
        <v>7150</v>
      </c>
      <c r="F10" s="247">
        <v>6957</v>
      </c>
      <c r="G10" s="247">
        <v>7027</v>
      </c>
      <c r="H10" s="247">
        <v>7097</v>
      </c>
      <c r="I10" s="247">
        <v>7168</v>
      </c>
    </row>
    <row r="11" spans="1:9" ht="38.25">
      <c r="A11" s="244">
        <v>4</v>
      </c>
      <c r="B11" s="199" t="s">
        <v>122</v>
      </c>
      <c r="C11" s="188">
        <v>7220</v>
      </c>
      <c r="D11" s="189" t="s">
        <v>251</v>
      </c>
      <c r="E11" s="246">
        <v>13706</v>
      </c>
      <c r="F11" s="247">
        <v>13920</v>
      </c>
      <c r="G11" s="247">
        <v>14059</v>
      </c>
      <c r="H11" s="247">
        <v>14199</v>
      </c>
      <c r="I11" s="247">
        <v>14342</v>
      </c>
    </row>
    <row r="12" spans="1:9" ht="38.25">
      <c r="A12" s="244">
        <v>5</v>
      </c>
      <c r="B12" s="199" t="s">
        <v>123</v>
      </c>
      <c r="C12" s="188">
        <v>7223</v>
      </c>
      <c r="D12" s="189" t="s">
        <v>252</v>
      </c>
      <c r="E12" s="246">
        <v>4120</v>
      </c>
      <c r="F12" s="247">
        <v>4416</v>
      </c>
      <c r="G12" s="247">
        <v>4460</v>
      </c>
      <c r="H12" s="247">
        <v>4505</v>
      </c>
      <c r="I12" s="247">
        <v>4549</v>
      </c>
    </row>
    <row r="13" spans="1:9" ht="38.25">
      <c r="A13" s="244">
        <v>6</v>
      </c>
      <c r="B13" s="199" t="s">
        <v>124</v>
      </c>
      <c r="C13" s="188">
        <v>7226</v>
      </c>
      <c r="D13" s="189" t="s">
        <v>253</v>
      </c>
      <c r="E13" s="246">
        <v>3190</v>
      </c>
      <c r="F13" s="247">
        <v>3763</v>
      </c>
      <c r="G13" s="247">
        <v>3800</v>
      </c>
      <c r="H13" s="247">
        <v>3839</v>
      </c>
      <c r="I13" s="247">
        <v>3877</v>
      </c>
    </row>
    <row r="14" spans="1:9" ht="25.5">
      <c r="A14" s="244">
        <v>7</v>
      </c>
      <c r="B14" s="199" t="s">
        <v>125</v>
      </c>
      <c r="C14" s="188">
        <v>7229</v>
      </c>
      <c r="D14" s="189" t="s">
        <v>254</v>
      </c>
      <c r="E14" s="246">
        <v>2475</v>
      </c>
      <c r="F14" s="247">
        <v>2625</v>
      </c>
      <c r="G14" s="247">
        <v>2651</v>
      </c>
      <c r="H14" s="247">
        <v>2678</v>
      </c>
      <c r="I14" s="247">
        <v>2705</v>
      </c>
    </row>
    <row r="15" spans="1:9" ht="25.5">
      <c r="A15" s="244">
        <v>8</v>
      </c>
      <c r="B15" s="248" t="s">
        <v>126</v>
      </c>
      <c r="C15" s="249">
        <v>7231</v>
      </c>
      <c r="D15" s="189" t="s">
        <v>255</v>
      </c>
      <c r="E15" s="246">
        <v>199</v>
      </c>
      <c r="F15" s="247">
        <v>213</v>
      </c>
      <c r="G15" s="247">
        <v>215</v>
      </c>
      <c r="H15" s="247">
        <v>216</v>
      </c>
      <c r="I15" s="247">
        <v>218</v>
      </c>
    </row>
    <row r="16" spans="1:9" ht="25.5">
      <c r="A16" s="244">
        <v>9</v>
      </c>
      <c r="B16" s="199" t="s">
        <v>127</v>
      </c>
      <c r="C16" s="188">
        <v>7233</v>
      </c>
      <c r="D16" s="189" t="s">
        <v>256</v>
      </c>
      <c r="E16" s="246">
        <v>62</v>
      </c>
      <c r="F16" s="247">
        <v>70</v>
      </c>
      <c r="G16" s="247">
        <v>71</v>
      </c>
      <c r="H16" s="247">
        <v>71</v>
      </c>
      <c r="I16" s="247">
        <v>72</v>
      </c>
    </row>
    <row r="17" spans="1:9" ht="38.25">
      <c r="A17" s="244">
        <v>10</v>
      </c>
      <c r="B17" s="199" t="s">
        <v>128</v>
      </c>
      <c r="C17" s="188">
        <v>7236</v>
      </c>
      <c r="D17" s="189" t="s">
        <v>257</v>
      </c>
      <c r="E17" s="246">
        <v>21</v>
      </c>
      <c r="F17" s="247">
        <v>27</v>
      </c>
      <c r="G17" s="247">
        <v>27</v>
      </c>
      <c r="H17" s="247">
        <v>28</v>
      </c>
      <c r="I17" s="247">
        <v>28</v>
      </c>
    </row>
    <row r="18" spans="1:9" ht="25.5">
      <c r="A18" s="244">
        <v>11</v>
      </c>
      <c r="B18" s="199" t="s">
        <v>129</v>
      </c>
      <c r="C18" s="110">
        <v>7239</v>
      </c>
      <c r="D18" s="189" t="s">
        <v>258</v>
      </c>
      <c r="E18" s="246">
        <v>116</v>
      </c>
      <c r="F18" s="247">
        <v>116</v>
      </c>
      <c r="G18" s="247">
        <v>117</v>
      </c>
      <c r="H18" s="247">
        <v>118</v>
      </c>
      <c r="I18" s="247">
        <v>120</v>
      </c>
    </row>
    <row r="19" spans="1:9" ht="25.5">
      <c r="A19" s="244">
        <v>12</v>
      </c>
      <c r="B19" s="248" t="s">
        <v>130</v>
      </c>
      <c r="C19" s="250">
        <v>7240</v>
      </c>
      <c r="D19" s="189" t="s">
        <v>259</v>
      </c>
      <c r="E19" s="246">
        <v>4787</v>
      </c>
      <c r="F19" s="247">
        <v>4967</v>
      </c>
      <c r="G19" s="247">
        <v>5017</v>
      </c>
      <c r="H19" s="247">
        <v>5067</v>
      </c>
      <c r="I19" s="247">
        <v>5118</v>
      </c>
    </row>
    <row r="20" spans="1:9" ht="25.5">
      <c r="A20" s="244">
        <v>13</v>
      </c>
      <c r="B20" s="199" t="s">
        <v>131</v>
      </c>
      <c r="C20" s="250">
        <v>7243</v>
      </c>
      <c r="D20" s="189" t="s">
        <v>260</v>
      </c>
      <c r="E20" s="246">
        <v>3912</v>
      </c>
      <c r="F20" s="247">
        <v>4044</v>
      </c>
      <c r="G20" s="247">
        <v>4084</v>
      </c>
      <c r="H20" s="247">
        <v>4125</v>
      </c>
      <c r="I20" s="247">
        <v>4167</v>
      </c>
    </row>
    <row r="21" spans="1:9" ht="25.5">
      <c r="A21" s="244">
        <v>14</v>
      </c>
      <c r="B21" s="199" t="s">
        <v>132</v>
      </c>
      <c r="C21" s="250">
        <v>7246</v>
      </c>
      <c r="D21" s="189" t="s">
        <v>261</v>
      </c>
      <c r="E21" s="246">
        <v>875</v>
      </c>
      <c r="F21" s="247">
        <v>929</v>
      </c>
      <c r="G21" s="247">
        <v>938</v>
      </c>
      <c r="H21" s="247">
        <v>948</v>
      </c>
      <c r="I21" s="247">
        <v>957</v>
      </c>
    </row>
    <row r="22" spans="1:9" ht="25.5">
      <c r="A22" s="244">
        <v>15</v>
      </c>
      <c r="B22" s="248" t="s">
        <v>133</v>
      </c>
      <c r="C22" s="250">
        <v>7250</v>
      </c>
      <c r="D22" s="189" t="s">
        <v>262</v>
      </c>
      <c r="E22" s="246">
        <v>30596</v>
      </c>
      <c r="F22" s="247">
        <v>32526</v>
      </c>
      <c r="G22" s="247">
        <v>32851</v>
      </c>
      <c r="H22" s="247">
        <v>33179</v>
      </c>
      <c r="I22" s="247">
        <v>33512</v>
      </c>
    </row>
    <row r="23" spans="1:9" ht="25.5">
      <c r="A23" s="244">
        <v>16</v>
      </c>
      <c r="B23" s="199" t="s">
        <v>121</v>
      </c>
      <c r="C23" s="110">
        <v>7251</v>
      </c>
      <c r="D23" s="189" t="s">
        <v>263</v>
      </c>
      <c r="E23" s="246">
        <v>2174</v>
      </c>
      <c r="F23" s="247">
        <v>2031</v>
      </c>
      <c r="G23" s="247">
        <v>2051</v>
      </c>
      <c r="H23" s="247">
        <v>2072</v>
      </c>
      <c r="I23" s="247">
        <v>2093</v>
      </c>
    </row>
    <row r="24" spans="1:9" ht="38.25">
      <c r="A24" s="244">
        <v>17</v>
      </c>
      <c r="B24" s="199" t="s">
        <v>122</v>
      </c>
      <c r="C24" s="110">
        <v>7254</v>
      </c>
      <c r="D24" s="189" t="s">
        <v>264</v>
      </c>
      <c r="E24" s="246">
        <v>13178</v>
      </c>
      <c r="F24" s="247">
        <v>13813</v>
      </c>
      <c r="G24" s="247">
        <v>13951</v>
      </c>
      <c r="H24" s="247">
        <v>14091</v>
      </c>
      <c r="I24" s="247">
        <v>14232</v>
      </c>
    </row>
    <row r="25" spans="1:9" ht="38.25">
      <c r="A25" s="244">
        <v>18</v>
      </c>
      <c r="B25" s="199" t="s">
        <v>123</v>
      </c>
      <c r="C25" s="110">
        <v>7257</v>
      </c>
      <c r="D25" s="189" t="s">
        <v>265</v>
      </c>
      <c r="E25" s="246">
        <v>1988</v>
      </c>
      <c r="F25" s="247">
        <v>2221</v>
      </c>
      <c r="G25" s="247">
        <v>2243</v>
      </c>
      <c r="H25" s="247">
        <v>2266</v>
      </c>
      <c r="I25" s="247">
        <v>2288</v>
      </c>
    </row>
    <row r="26" spans="1:9" ht="38.25">
      <c r="A26" s="244">
        <v>19</v>
      </c>
      <c r="B26" s="199" t="s">
        <v>124</v>
      </c>
      <c r="C26" s="110">
        <v>7260</v>
      </c>
      <c r="D26" s="189" t="s">
        <v>266</v>
      </c>
      <c r="E26" s="246">
        <v>2384</v>
      </c>
      <c r="F26" s="247">
        <v>2411</v>
      </c>
      <c r="G26" s="247">
        <v>2435</v>
      </c>
      <c r="H26" s="247">
        <v>2459</v>
      </c>
      <c r="I26" s="247">
        <v>2484</v>
      </c>
    </row>
    <row r="27" spans="1:9" ht="25.5">
      <c r="A27" s="244">
        <v>20</v>
      </c>
      <c r="B27" s="199" t="s">
        <v>125</v>
      </c>
      <c r="C27" s="110">
        <v>7263</v>
      </c>
      <c r="D27" s="189" t="s">
        <v>267</v>
      </c>
      <c r="E27" s="246">
        <v>10872</v>
      </c>
      <c r="F27" s="247">
        <v>10981</v>
      </c>
      <c r="G27" s="247">
        <v>11091</v>
      </c>
      <c r="H27" s="247">
        <v>11201</v>
      </c>
      <c r="I27" s="247">
        <v>11313</v>
      </c>
    </row>
    <row r="28" spans="1:9" ht="63.75">
      <c r="A28" s="244">
        <v>21</v>
      </c>
      <c r="B28" s="248" t="s">
        <v>134</v>
      </c>
      <c r="C28" s="110">
        <v>7270</v>
      </c>
      <c r="D28" s="189" t="s">
        <v>268</v>
      </c>
      <c r="E28" s="246">
        <v>14028</v>
      </c>
      <c r="F28" s="247">
        <v>15274</v>
      </c>
      <c r="G28" s="247">
        <v>15427</v>
      </c>
      <c r="H28" s="247">
        <v>15581</v>
      </c>
      <c r="I28" s="247">
        <v>15737</v>
      </c>
    </row>
    <row r="29" spans="1:9" ht="25.5">
      <c r="A29" s="244">
        <v>22</v>
      </c>
      <c r="B29" s="248" t="s">
        <v>135</v>
      </c>
      <c r="C29" s="110">
        <v>7280</v>
      </c>
      <c r="D29" s="189" t="s">
        <v>269</v>
      </c>
      <c r="E29" s="246">
        <v>1123</v>
      </c>
      <c r="F29" s="247">
        <v>1213</v>
      </c>
      <c r="G29" s="247">
        <v>1225</v>
      </c>
      <c r="H29" s="247">
        <v>1237</v>
      </c>
      <c r="I29" s="247">
        <v>1249</v>
      </c>
    </row>
    <row r="30" spans="1:9" ht="30">
      <c r="A30" s="244">
        <v>23</v>
      </c>
      <c r="B30" s="251" t="s">
        <v>136</v>
      </c>
      <c r="C30" s="110">
        <v>7281</v>
      </c>
      <c r="D30" s="189" t="s">
        <v>270</v>
      </c>
      <c r="E30" s="246">
        <v>407</v>
      </c>
      <c r="F30" s="247">
        <v>411</v>
      </c>
      <c r="G30" s="247">
        <v>415</v>
      </c>
      <c r="H30" s="247">
        <v>419</v>
      </c>
      <c r="I30" s="247">
        <v>423</v>
      </c>
    </row>
    <row r="31" spans="1:9" ht="30">
      <c r="A31" s="244">
        <v>24</v>
      </c>
      <c r="B31" s="251" t="s">
        <v>137</v>
      </c>
      <c r="C31" s="110">
        <v>7284</v>
      </c>
      <c r="D31" s="189" t="s">
        <v>271</v>
      </c>
      <c r="E31" s="246">
        <v>716</v>
      </c>
      <c r="F31" s="247">
        <v>802</v>
      </c>
      <c r="G31" s="247">
        <v>810</v>
      </c>
      <c r="H31" s="247">
        <v>818</v>
      </c>
      <c r="I31" s="247">
        <v>826</v>
      </c>
    </row>
    <row r="32" spans="1:9" ht="60">
      <c r="A32" s="244">
        <v>25</v>
      </c>
      <c r="B32" s="252" t="s">
        <v>138</v>
      </c>
      <c r="C32" s="244">
        <v>7290</v>
      </c>
      <c r="D32" s="189" t="s">
        <v>272</v>
      </c>
      <c r="E32" s="246">
        <v>467</v>
      </c>
      <c r="F32" s="253">
        <v>465</v>
      </c>
      <c r="G32" s="253">
        <v>469</v>
      </c>
      <c r="H32" s="253">
        <v>474</v>
      </c>
      <c r="I32" s="253">
        <v>479</v>
      </c>
    </row>
    <row r="33" spans="1:9" ht="25.5">
      <c r="A33" s="244">
        <v>26</v>
      </c>
      <c r="B33" s="199" t="s">
        <v>121</v>
      </c>
      <c r="C33" s="244">
        <v>7291</v>
      </c>
      <c r="D33" s="189" t="s">
        <v>273</v>
      </c>
      <c r="E33" s="246">
        <v>339</v>
      </c>
      <c r="F33" s="253">
        <v>329</v>
      </c>
      <c r="G33" s="253">
        <v>333</v>
      </c>
      <c r="H33" s="253">
        <v>336</v>
      </c>
      <c r="I33" s="253">
        <v>339</v>
      </c>
    </row>
    <row r="34" spans="1:9" ht="25.5">
      <c r="A34" s="244">
        <v>27</v>
      </c>
      <c r="B34" s="199" t="s">
        <v>139</v>
      </c>
      <c r="C34" s="244">
        <v>7293</v>
      </c>
      <c r="D34" s="189" t="s">
        <v>274</v>
      </c>
      <c r="E34" s="246">
        <v>128</v>
      </c>
      <c r="F34" s="253">
        <v>135</v>
      </c>
      <c r="G34" s="253">
        <v>137</v>
      </c>
      <c r="H34" s="253">
        <v>138</v>
      </c>
      <c r="I34" s="253">
        <v>139</v>
      </c>
    </row>
    <row r="35" spans="1:9" ht="38.25">
      <c r="A35" s="244">
        <v>28</v>
      </c>
      <c r="B35" s="248" t="s">
        <v>140</v>
      </c>
      <c r="C35" s="244">
        <v>7300</v>
      </c>
      <c r="D35" s="189" t="s">
        <v>275</v>
      </c>
      <c r="E35" s="246">
        <v>7</v>
      </c>
      <c r="F35" s="253">
        <v>7</v>
      </c>
      <c r="G35" s="253">
        <v>7</v>
      </c>
      <c r="H35" s="253">
        <v>7</v>
      </c>
      <c r="I35" s="253">
        <v>7</v>
      </c>
    </row>
    <row r="36" spans="1:9" ht="25.5">
      <c r="A36" s="244">
        <v>29</v>
      </c>
      <c r="B36" s="199" t="s">
        <v>121</v>
      </c>
      <c r="C36" s="244">
        <v>7301</v>
      </c>
      <c r="D36" s="189" t="s">
        <v>276</v>
      </c>
      <c r="E36" s="246">
        <v>3</v>
      </c>
      <c r="F36" s="253">
        <v>4</v>
      </c>
      <c r="G36" s="253">
        <v>4</v>
      </c>
      <c r="H36" s="253">
        <v>4</v>
      </c>
      <c r="I36" s="253">
        <v>4</v>
      </c>
    </row>
    <row r="37" spans="1:9" ht="25.5">
      <c r="A37" s="244">
        <v>30</v>
      </c>
      <c r="B37" s="199" t="s">
        <v>139</v>
      </c>
      <c r="C37" s="244">
        <v>7305</v>
      </c>
      <c r="D37" s="189" t="s">
        <v>277</v>
      </c>
      <c r="E37" s="246">
        <v>4</v>
      </c>
      <c r="F37" s="253">
        <v>3</v>
      </c>
      <c r="G37" s="253">
        <v>3</v>
      </c>
      <c r="H37" s="253">
        <v>3</v>
      </c>
      <c r="I37" s="253">
        <v>3</v>
      </c>
    </row>
    <row r="38" spans="1:9" ht="25.5">
      <c r="A38" s="244">
        <v>31</v>
      </c>
      <c r="B38" s="248" t="s">
        <v>141</v>
      </c>
      <c r="C38" s="244">
        <v>7310</v>
      </c>
      <c r="D38" s="189" t="s">
        <v>278</v>
      </c>
      <c r="E38" s="246">
        <v>27</v>
      </c>
      <c r="F38" s="253">
        <v>36</v>
      </c>
      <c r="G38" s="253">
        <v>36</v>
      </c>
      <c r="H38" s="253">
        <v>37</v>
      </c>
      <c r="I38" s="253">
        <v>37</v>
      </c>
    </row>
    <row r="39" spans="1:9" ht="25.5">
      <c r="A39" s="244">
        <v>32</v>
      </c>
      <c r="B39" s="199" t="s">
        <v>121</v>
      </c>
      <c r="C39" s="244">
        <v>7311</v>
      </c>
      <c r="D39" s="189" t="s">
        <v>279</v>
      </c>
      <c r="E39" s="246">
        <v>7</v>
      </c>
      <c r="F39" s="253">
        <v>8</v>
      </c>
      <c r="G39" s="253">
        <v>8</v>
      </c>
      <c r="H39" s="253">
        <v>8</v>
      </c>
      <c r="I39" s="253">
        <v>8</v>
      </c>
    </row>
    <row r="40" spans="1:9" ht="25.5">
      <c r="A40" s="244">
        <v>33</v>
      </c>
      <c r="B40" s="199" t="s">
        <v>139</v>
      </c>
      <c r="C40" s="244">
        <v>7315</v>
      </c>
      <c r="D40" s="189" t="s">
        <v>280</v>
      </c>
      <c r="E40" s="246">
        <v>20</v>
      </c>
      <c r="F40" s="253">
        <v>28</v>
      </c>
      <c r="G40" s="253">
        <v>28</v>
      </c>
      <c r="H40" s="253">
        <v>29</v>
      </c>
      <c r="I40" s="253">
        <v>29</v>
      </c>
    </row>
    <row r="41" spans="1:9" ht="51">
      <c r="A41" s="244">
        <v>34</v>
      </c>
      <c r="B41" s="248" t="s">
        <v>142</v>
      </c>
      <c r="C41" s="244">
        <v>7320</v>
      </c>
      <c r="D41" s="189" t="s">
        <v>281</v>
      </c>
      <c r="E41" s="246">
        <v>225</v>
      </c>
      <c r="F41" s="253">
        <v>137</v>
      </c>
      <c r="G41" s="253">
        <v>138</v>
      </c>
      <c r="H41" s="253">
        <v>140</v>
      </c>
      <c r="I41" s="253">
        <v>141</v>
      </c>
    </row>
    <row r="42" spans="1:9" ht="25.5">
      <c r="A42" s="244">
        <v>35</v>
      </c>
      <c r="B42" s="248" t="s">
        <v>143</v>
      </c>
      <c r="C42" s="244">
        <v>7325</v>
      </c>
      <c r="D42" s="189" t="s">
        <v>282</v>
      </c>
      <c r="E42" s="246">
        <v>235</v>
      </c>
      <c r="F42" s="253">
        <v>111</v>
      </c>
      <c r="G42" s="253">
        <v>112</v>
      </c>
      <c r="H42" s="253">
        <v>113</v>
      </c>
      <c r="I42" s="253">
        <v>114</v>
      </c>
    </row>
    <row r="43" spans="1:9" ht="25.5">
      <c r="A43" s="244">
        <v>36</v>
      </c>
      <c r="B43" s="248" t="s">
        <v>144</v>
      </c>
      <c r="C43" s="244">
        <v>7330</v>
      </c>
      <c r="D43" s="189" t="s">
        <v>283</v>
      </c>
      <c r="E43" s="246">
        <v>53</v>
      </c>
      <c r="F43" s="253">
        <v>61</v>
      </c>
      <c r="G43" s="253">
        <v>62</v>
      </c>
      <c r="H43" s="253">
        <v>62</v>
      </c>
      <c r="I43" s="253">
        <v>63</v>
      </c>
    </row>
    <row r="44" spans="1:9" ht="51">
      <c r="A44" s="244">
        <v>37</v>
      </c>
      <c r="B44" s="245" t="s">
        <v>145</v>
      </c>
      <c r="C44" s="244">
        <v>7340</v>
      </c>
      <c r="D44" s="189" t="s">
        <v>284</v>
      </c>
      <c r="E44" s="246">
        <v>727670</v>
      </c>
      <c r="F44" s="253">
        <v>816817</v>
      </c>
      <c r="G44" s="253">
        <v>848463</v>
      </c>
      <c r="H44" s="253">
        <v>890886</v>
      </c>
      <c r="I44" s="253">
        <v>935430</v>
      </c>
    </row>
    <row r="45" spans="1:9" ht="25.5">
      <c r="A45" s="244">
        <v>38</v>
      </c>
      <c r="B45" s="248" t="s">
        <v>120</v>
      </c>
      <c r="C45" s="244">
        <v>7341</v>
      </c>
      <c r="D45" s="189" t="s">
        <v>285</v>
      </c>
      <c r="E45" s="246">
        <v>213419</v>
      </c>
      <c r="F45" s="253">
        <v>237124</v>
      </c>
      <c r="G45" s="253">
        <v>239513</v>
      </c>
      <c r="H45" s="253">
        <v>241909</v>
      </c>
      <c r="I45" s="253">
        <v>244328</v>
      </c>
    </row>
    <row r="46" spans="1:9" ht="25.5">
      <c r="A46" s="244">
        <v>39</v>
      </c>
      <c r="B46" s="199" t="s">
        <v>121</v>
      </c>
      <c r="C46" s="244">
        <v>7344</v>
      </c>
      <c r="D46" s="189" t="s">
        <v>286</v>
      </c>
      <c r="E46" s="246">
        <v>5060</v>
      </c>
      <c r="F46" s="253">
        <v>5210</v>
      </c>
      <c r="G46" s="253">
        <v>5262</v>
      </c>
      <c r="H46" s="253">
        <v>5315</v>
      </c>
      <c r="I46" s="253">
        <v>5368</v>
      </c>
    </row>
    <row r="47" spans="1:9" ht="38.25">
      <c r="A47" s="244">
        <v>40</v>
      </c>
      <c r="B47" s="199" t="s">
        <v>122</v>
      </c>
      <c r="C47" s="244">
        <v>7347</v>
      </c>
      <c r="D47" s="189" t="s">
        <v>287</v>
      </c>
      <c r="E47" s="246">
        <v>22081</v>
      </c>
      <c r="F47" s="253">
        <v>23350</v>
      </c>
      <c r="G47" s="253">
        <v>23584</v>
      </c>
      <c r="H47" s="253">
        <v>23819</v>
      </c>
      <c r="I47" s="253">
        <v>24058</v>
      </c>
    </row>
    <row r="48" spans="1:9" ht="38.25">
      <c r="A48" s="244">
        <v>41</v>
      </c>
      <c r="B48" s="199" t="s">
        <v>123</v>
      </c>
      <c r="C48" s="244">
        <v>7350</v>
      </c>
      <c r="D48" s="189" t="s">
        <v>288</v>
      </c>
      <c r="E48" s="246">
        <v>27117</v>
      </c>
      <c r="F48" s="253">
        <v>29823</v>
      </c>
      <c r="G48" s="253">
        <v>30121</v>
      </c>
      <c r="H48" s="253">
        <v>30422</v>
      </c>
      <c r="I48" s="253">
        <v>30727</v>
      </c>
    </row>
    <row r="49" spans="1:9" ht="38.25">
      <c r="A49" s="244">
        <v>42</v>
      </c>
      <c r="B49" s="199" t="s">
        <v>124</v>
      </c>
      <c r="C49" s="244">
        <v>7353</v>
      </c>
      <c r="D49" s="189" t="s">
        <v>289</v>
      </c>
      <c r="E49" s="246">
        <v>42363</v>
      </c>
      <c r="F49" s="253">
        <v>50677</v>
      </c>
      <c r="G49" s="253">
        <v>51184</v>
      </c>
      <c r="H49" s="253">
        <v>51696</v>
      </c>
      <c r="I49" s="253">
        <v>52213</v>
      </c>
    </row>
    <row r="50" spans="1:9" ht="25.5">
      <c r="A50" s="244">
        <v>43</v>
      </c>
      <c r="B50" s="199" t="s">
        <v>125</v>
      </c>
      <c r="C50" s="244">
        <v>7356</v>
      </c>
      <c r="D50" s="189" t="s">
        <v>290</v>
      </c>
      <c r="E50" s="246">
        <v>116798</v>
      </c>
      <c r="F50" s="253">
        <v>128064</v>
      </c>
      <c r="G50" s="253">
        <v>129345</v>
      </c>
      <c r="H50" s="253">
        <v>130638</v>
      </c>
      <c r="I50" s="253">
        <v>131944</v>
      </c>
    </row>
    <row r="51" spans="1:9" ht="25.5">
      <c r="A51" s="244">
        <v>44</v>
      </c>
      <c r="B51" s="248" t="s">
        <v>126</v>
      </c>
      <c r="C51" s="244">
        <v>7360</v>
      </c>
      <c r="D51" s="189" t="s">
        <v>291</v>
      </c>
      <c r="E51" s="246">
        <v>271</v>
      </c>
      <c r="F51" s="253">
        <v>287</v>
      </c>
      <c r="G51" s="253">
        <v>289</v>
      </c>
      <c r="H51" s="253">
        <v>293</v>
      </c>
      <c r="I51" s="253">
        <v>296</v>
      </c>
    </row>
    <row r="52" spans="1:9" ht="25.5">
      <c r="A52" s="244">
        <v>45</v>
      </c>
      <c r="B52" s="199" t="s">
        <v>127</v>
      </c>
      <c r="C52" s="244">
        <v>7361</v>
      </c>
      <c r="D52" s="189" t="s">
        <v>292</v>
      </c>
      <c r="E52" s="246">
        <v>4</v>
      </c>
      <c r="F52" s="253">
        <v>4</v>
      </c>
      <c r="G52" s="253">
        <v>4</v>
      </c>
      <c r="H52" s="253">
        <v>4</v>
      </c>
      <c r="I52" s="253">
        <v>4</v>
      </c>
    </row>
    <row r="53" spans="1:9" ht="38.25">
      <c r="A53" s="244">
        <v>46</v>
      </c>
      <c r="B53" s="199" t="s">
        <v>128</v>
      </c>
      <c r="C53" s="244">
        <v>7363</v>
      </c>
      <c r="D53" s="189" t="s">
        <v>293</v>
      </c>
      <c r="E53" s="246">
        <v>4</v>
      </c>
      <c r="F53" s="253">
        <v>5</v>
      </c>
      <c r="G53" s="253">
        <v>5</v>
      </c>
      <c r="H53" s="253">
        <v>5</v>
      </c>
      <c r="I53" s="253">
        <v>5</v>
      </c>
    </row>
    <row r="54" spans="1:9" ht="25.5">
      <c r="A54" s="244">
        <v>47</v>
      </c>
      <c r="B54" s="199" t="s">
        <v>129</v>
      </c>
      <c r="C54" s="244">
        <v>7367</v>
      </c>
      <c r="D54" s="189" t="s">
        <v>294</v>
      </c>
      <c r="E54" s="246">
        <v>263</v>
      </c>
      <c r="F54" s="253">
        <v>278</v>
      </c>
      <c r="G54" s="253">
        <v>281</v>
      </c>
      <c r="H54" s="253">
        <v>282</v>
      </c>
      <c r="I54" s="253">
        <v>285</v>
      </c>
    </row>
    <row r="55" spans="1:9" ht="25.5">
      <c r="A55" s="244">
        <v>48</v>
      </c>
      <c r="B55" s="248" t="s">
        <v>130</v>
      </c>
      <c r="C55" s="244">
        <v>7370</v>
      </c>
      <c r="D55" s="189" t="s">
        <v>295</v>
      </c>
      <c r="E55" s="246">
        <v>41948</v>
      </c>
      <c r="F55" s="253">
        <v>44215</v>
      </c>
      <c r="G55" s="253">
        <v>44657</v>
      </c>
      <c r="H55" s="253">
        <v>45104</v>
      </c>
      <c r="I55" s="253">
        <v>45555</v>
      </c>
    </row>
    <row r="56" spans="1:9" ht="25.5">
      <c r="A56" s="244">
        <v>49</v>
      </c>
      <c r="B56" s="199" t="s">
        <v>131</v>
      </c>
      <c r="C56" s="244">
        <v>7371</v>
      </c>
      <c r="D56" s="189" t="s">
        <v>296</v>
      </c>
      <c r="E56" s="246">
        <v>21029</v>
      </c>
      <c r="F56" s="253">
        <v>21649</v>
      </c>
      <c r="G56" s="253">
        <v>21866</v>
      </c>
      <c r="H56" s="253">
        <v>22084</v>
      </c>
      <c r="I56" s="253">
        <v>22304</v>
      </c>
    </row>
    <row r="57" spans="1:9" ht="25.5">
      <c r="A57" s="244">
        <v>50</v>
      </c>
      <c r="B57" s="199" t="s">
        <v>132</v>
      </c>
      <c r="C57" s="244">
        <v>7374</v>
      </c>
      <c r="D57" s="189" t="s">
        <v>297</v>
      </c>
      <c r="E57" s="246">
        <v>20919</v>
      </c>
      <c r="F57" s="253">
        <v>22566</v>
      </c>
      <c r="G57" s="253">
        <v>22792</v>
      </c>
      <c r="H57" s="253">
        <v>23019</v>
      </c>
      <c r="I57" s="253">
        <v>23249</v>
      </c>
    </row>
    <row r="58" spans="1:9" ht="25.5">
      <c r="A58" s="244">
        <v>51</v>
      </c>
      <c r="B58" s="248" t="s">
        <v>133</v>
      </c>
      <c r="C58" s="244">
        <v>7380</v>
      </c>
      <c r="D58" s="189" t="s">
        <v>298</v>
      </c>
      <c r="E58" s="246">
        <v>405514</v>
      </c>
      <c r="F58" s="253">
        <v>464803</v>
      </c>
      <c r="G58" s="253">
        <v>469451</v>
      </c>
      <c r="H58" s="253">
        <v>474146</v>
      </c>
      <c r="I58" s="253">
        <v>478887</v>
      </c>
    </row>
    <row r="59" spans="1:9" ht="25.5">
      <c r="A59" s="244">
        <v>52</v>
      </c>
      <c r="B59" s="199" t="s">
        <v>121</v>
      </c>
      <c r="C59" s="244">
        <v>7383</v>
      </c>
      <c r="D59" s="189" t="s">
        <v>299</v>
      </c>
      <c r="E59" s="246">
        <v>4379</v>
      </c>
      <c r="F59" s="253">
        <v>4021</v>
      </c>
      <c r="G59" s="253">
        <v>4061</v>
      </c>
      <c r="H59" s="253">
        <v>4102</v>
      </c>
      <c r="I59" s="253">
        <v>4143</v>
      </c>
    </row>
    <row r="60" spans="1:9" ht="38.25">
      <c r="A60" s="244">
        <v>53</v>
      </c>
      <c r="B60" s="199" t="s">
        <v>122</v>
      </c>
      <c r="C60" s="244">
        <v>7385</v>
      </c>
      <c r="D60" s="189" t="s">
        <v>300</v>
      </c>
      <c r="E60" s="246">
        <v>59683</v>
      </c>
      <c r="F60" s="253">
        <v>61889</v>
      </c>
      <c r="G60" s="253">
        <v>62508</v>
      </c>
      <c r="H60" s="253">
        <v>63133</v>
      </c>
      <c r="I60" s="253">
        <v>63764</v>
      </c>
    </row>
    <row r="61" spans="1:9" ht="38.25">
      <c r="A61" s="244">
        <v>54</v>
      </c>
      <c r="B61" s="199" t="s">
        <v>123</v>
      </c>
      <c r="C61" s="244">
        <v>7387</v>
      </c>
      <c r="D61" s="189" t="s">
        <v>301</v>
      </c>
      <c r="E61" s="246">
        <v>14519</v>
      </c>
      <c r="F61" s="253">
        <v>16341</v>
      </c>
      <c r="G61" s="253">
        <v>16504</v>
      </c>
      <c r="H61" s="253">
        <v>16669</v>
      </c>
      <c r="I61" s="253">
        <v>16836</v>
      </c>
    </row>
    <row r="62" spans="1:9" ht="38.25">
      <c r="A62" s="244">
        <v>55</v>
      </c>
      <c r="B62" s="199" t="s">
        <v>124</v>
      </c>
      <c r="C62" s="244">
        <v>7390</v>
      </c>
      <c r="D62" s="189" t="s">
        <v>302</v>
      </c>
      <c r="E62" s="246">
        <v>32764</v>
      </c>
      <c r="F62" s="253">
        <v>31899</v>
      </c>
      <c r="G62" s="253">
        <v>32218</v>
      </c>
      <c r="H62" s="253">
        <v>32541</v>
      </c>
      <c r="I62" s="253">
        <v>32866</v>
      </c>
    </row>
    <row r="63" spans="1:9" ht="25.5">
      <c r="A63" s="244">
        <v>56</v>
      </c>
      <c r="B63" s="199" t="s">
        <v>125</v>
      </c>
      <c r="C63" s="244">
        <v>7393</v>
      </c>
      <c r="D63" s="189" t="s">
        <v>303</v>
      </c>
      <c r="E63" s="246">
        <v>294169</v>
      </c>
      <c r="F63" s="253">
        <v>350653</v>
      </c>
      <c r="G63" s="253">
        <v>354159</v>
      </c>
      <c r="H63" s="253">
        <v>357701</v>
      </c>
      <c r="I63" s="253">
        <v>361278</v>
      </c>
    </row>
    <row r="64" spans="1:9" ht="63.75">
      <c r="A64" s="244">
        <v>57</v>
      </c>
      <c r="B64" s="248" t="s">
        <v>304</v>
      </c>
      <c r="C64" s="244">
        <v>7400</v>
      </c>
      <c r="D64" s="189" t="s">
        <v>305</v>
      </c>
      <c r="E64" s="246">
        <v>50420</v>
      </c>
      <c r="F64" s="253">
        <v>55787</v>
      </c>
      <c r="G64" s="253">
        <v>56345</v>
      </c>
      <c r="H64" s="253">
        <v>56908</v>
      </c>
      <c r="I64" s="253">
        <v>57477</v>
      </c>
    </row>
    <row r="65" spans="1:9" ht="25.5">
      <c r="A65" s="244">
        <v>58</v>
      </c>
      <c r="B65" s="248" t="s">
        <v>135</v>
      </c>
      <c r="C65" s="244">
        <v>7403</v>
      </c>
      <c r="D65" s="189" t="s">
        <v>306</v>
      </c>
      <c r="E65" s="246">
        <v>1938</v>
      </c>
      <c r="F65" s="253">
        <v>2156</v>
      </c>
      <c r="G65" s="253">
        <v>2178</v>
      </c>
      <c r="H65" s="253">
        <v>2199</v>
      </c>
      <c r="I65" s="253">
        <v>2221</v>
      </c>
    </row>
    <row r="66" spans="1:9" ht="25.5">
      <c r="A66" s="244">
        <v>59</v>
      </c>
      <c r="B66" s="199" t="s">
        <v>136</v>
      </c>
      <c r="C66" s="244">
        <v>7406</v>
      </c>
      <c r="D66" s="189" t="s">
        <v>307</v>
      </c>
      <c r="E66" s="246">
        <v>295</v>
      </c>
      <c r="F66" s="253">
        <v>295</v>
      </c>
      <c r="G66" s="253">
        <v>298</v>
      </c>
      <c r="H66" s="253">
        <v>301</v>
      </c>
      <c r="I66" s="253">
        <v>302</v>
      </c>
    </row>
    <row r="67" spans="1:9" ht="25.5">
      <c r="A67" s="244">
        <v>60</v>
      </c>
      <c r="B67" s="199" t="s">
        <v>137</v>
      </c>
      <c r="C67" s="244">
        <v>7409</v>
      </c>
      <c r="D67" s="189" t="s">
        <v>308</v>
      </c>
      <c r="E67" s="246">
        <v>1643</v>
      </c>
      <c r="F67" s="253">
        <v>1864</v>
      </c>
      <c r="G67" s="253">
        <v>1883</v>
      </c>
      <c r="H67" s="253">
        <v>1901</v>
      </c>
      <c r="I67" s="253">
        <v>1920</v>
      </c>
    </row>
    <row r="68" spans="1:9" ht="51">
      <c r="A68" s="244">
        <v>61</v>
      </c>
      <c r="B68" s="248" t="s">
        <v>138</v>
      </c>
      <c r="C68" s="244">
        <v>7412</v>
      </c>
      <c r="D68" s="189" t="s">
        <v>309</v>
      </c>
      <c r="E68" s="246">
        <v>2390</v>
      </c>
      <c r="F68" s="253">
        <v>2841</v>
      </c>
      <c r="G68" s="253">
        <v>2869</v>
      </c>
      <c r="H68" s="253">
        <v>2898</v>
      </c>
      <c r="I68" s="253">
        <v>2927</v>
      </c>
    </row>
    <row r="69" spans="1:9" ht="25.5">
      <c r="A69" s="244">
        <v>62</v>
      </c>
      <c r="B69" s="199" t="s">
        <v>121</v>
      </c>
      <c r="C69" s="244">
        <v>7415</v>
      </c>
      <c r="D69" s="189" t="s">
        <v>310</v>
      </c>
      <c r="E69" s="246">
        <v>416</v>
      </c>
      <c r="F69" s="253">
        <v>420</v>
      </c>
      <c r="G69" s="253">
        <v>424</v>
      </c>
      <c r="H69" s="253">
        <v>429</v>
      </c>
      <c r="I69" s="253">
        <v>433</v>
      </c>
    </row>
    <row r="70" spans="1:9" ht="25.5">
      <c r="A70" s="244">
        <v>63</v>
      </c>
      <c r="B70" s="199" t="s">
        <v>139</v>
      </c>
      <c r="C70" s="244">
        <v>7418</v>
      </c>
      <c r="D70" s="189" t="s">
        <v>311</v>
      </c>
      <c r="E70" s="246">
        <v>1974</v>
      </c>
      <c r="F70" s="253">
        <v>2424</v>
      </c>
      <c r="G70" s="253">
        <v>2448</v>
      </c>
      <c r="H70" s="253">
        <v>2472</v>
      </c>
      <c r="I70" s="253">
        <v>2497</v>
      </c>
    </row>
    <row r="71" spans="1:9" ht="38.25">
      <c r="A71" s="244">
        <v>64</v>
      </c>
      <c r="B71" s="248" t="s">
        <v>140</v>
      </c>
      <c r="C71" s="244">
        <v>7420</v>
      </c>
      <c r="D71" s="189" t="s">
        <v>312</v>
      </c>
      <c r="E71" s="246">
        <v>1713</v>
      </c>
      <c r="F71" s="253">
        <v>1568</v>
      </c>
      <c r="G71" s="253">
        <v>1584</v>
      </c>
      <c r="H71" s="253">
        <v>1599</v>
      </c>
      <c r="I71" s="253">
        <v>1616</v>
      </c>
    </row>
    <row r="72" spans="1:9" ht="25.5">
      <c r="A72" s="244">
        <v>65</v>
      </c>
      <c r="B72" s="199" t="s">
        <v>121</v>
      </c>
      <c r="C72" s="244">
        <v>7423</v>
      </c>
      <c r="D72" s="189" t="s">
        <v>313</v>
      </c>
      <c r="E72" s="246">
        <v>7</v>
      </c>
      <c r="F72" s="253">
        <v>8</v>
      </c>
      <c r="G72" s="253">
        <v>8</v>
      </c>
      <c r="H72" s="253">
        <v>8</v>
      </c>
      <c r="I72" s="253">
        <v>8</v>
      </c>
    </row>
    <row r="73" spans="1:9" ht="25.5">
      <c r="A73" s="244">
        <v>66</v>
      </c>
      <c r="B73" s="199" t="s">
        <v>139</v>
      </c>
      <c r="C73" s="244">
        <v>7425</v>
      </c>
      <c r="D73" s="189" t="s">
        <v>314</v>
      </c>
      <c r="E73" s="246">
        <v>1706</v>
      </c>
      <c r="F73" s="253">
        <v>1560</v>
      </c>
      <c r="G73" s="253">
        <v>1576</v>
      </c>
      <c r="H73" s="253">
        <v>1591</v>
      </c>
      <c r="I73" s="253">
        <v>1607</v>
      </c>
    </row>
    <row r="74" spans="1:9" ht="25.5">
      <c r="A74" s="244">
        <v>67</v>
      </c>
      <c r="B74" s="248" t="s">
        <v>141</v>
      </c>
      <c r="C74" s="244">
        <v>7430</v>
      </c>
      <c r="D74" s="189" t="s">
        <v>315</v>
      </c>
      <c r="E74" s="246">
        <v>549</v>
      </c>
      <c r="F74" s="253">
        <v>766</v>
      </c>
      <c r="G74" s="253">
        <v>774</v>
      </c>
      <c r="H74" s="253">
        <v>781</v>
      </c>
      <c r="I74" s="253">
        <v>789</v>
      </c>
    </row>
    <row r="75" spans="1:9" ht="25.5">
      <c r="A75" s="244">
        <v>68</v>
      </c>
      <c r="B75" s="199" t="s">
        <v>121</v>
      </c>
      <c r="C75" s="244">
        <v>7432</v>
      </c>
      <c r="D75" s="189" t="s">
        <v>316</v>
      </c>
      <c r="E75" s="246">
        <v>45</v>
      </c>
      <c r="F75" s="253">
        <v>58</v>
      </c>
      <c r="G75" s="253">
        <v>59</v>
      </c>
      <c r="H75" s="253">
        <v>59</v>
      </c>
      <c r="I75" s="253">
        <v>60</v>
      </c>
    </row>
    <row r="76" spans="1:9" ht="25.5">
      <c r="A76" s="244">
        <v>69</v>
      </c>
      <c r="B76" s="199" t="s">
        <v>139</v>
      </c>
      <c r="C76" s="244">
        <v>7435</v>
      </c>
      <c r="D76" s="189" t="s">
        <v>317</v>
      </c>
      <c r="E76" s="246">
        <v>504</v>
      </c>
      <c r="F76" s="253">
        <v>708</v>
      </c>
      <c r="G76" s="253">
        <v>715</v>
      </c>
      <c r="H76" s="253">
        <v>722</v>
      </c>
      <c r="I76" s="253">
        <v>729</v>
      </c>
    </row>
    <row r="77" spans="1:9" ht="51">
      <c r="A77" s="244">
        <v>70</v>
      </c>
      <c r="B77" s="248" t="s">
        <v>142</v>
      </c>
      <c r="C77" s="244">
        <v>7440</v>
      </c>
      <c r="D77" s="189" t="s">
        <v>318</v>
      </c>
      <c r="E77" s="246">
        <v>3616</v>
      </c>
      <c r="F77" s="253">
        <v>2602</v>
      </c>
      <c r="G77" s="253">
        <v>2628</v>
      </c>
      <c r="H77" s="253">
        <v>2654</v>
      </c>
      <c r="I77" s="253">
        <v>2681</v>
      </c>
    </row>
    <row r="78" spans="1:9" ht="25.5">
      <c r="A78" s="244">
        <v>71</v>
      </c>
      <c r="B78" s="248" t="s">
        <v>143</v>
      </c>
      <c r="C78" s="244">
        <v>7450</v>
      </c>
      <c r="D78" s="189" t="s">
        <v>319</v>
      </c>
      <c r="E78" s="246">
        <v>2853</v>
      </c>
      <c r="F78" s="253">
        <v>1979</v>
      </c>
      <c r="G78" s="253">
        <v>1999</v>
      </c>
      <c r="H78" s="253">
        <v>2019</v>
      </c>
      <c r="I78" s="253">
        <v>2039</v>
      </c>
    </row>
    <row r="79" spans="1:9" ht="25.5">
      <c r="A79" s="244">
        <v>72</v>
      </c>
      <c r="B79" s="248" t="s">
        <v>144</v>
      </c>
      <c r="C79" s="244">
        <v>7455</v>
      </c>
      <c r="D79" s="189" t="s">
        <v>320</v>
      </c>
      <c r="E79" s="246">
        <v>3040</v>
      </c>
      <c r="F79" s="253">
        <v>2689</v>
      </c>
      <c r="G79" s="253">
        <v>2716</v>
      </c>
      <c r="H79" s="253">
        <v>2743</v>
      </c>
      <c r="I79" s="253">
        <v>2770</v>
      </c>
    </row>
    <row r="80" spans="1:9" ht="51">
      <c r="A80" s="244">
        <v>73</v>
      </c>
      <c r="B80" s="245" t="s">
        <v>146</v>
      </c>
      <c r="C80" s="244">
        <v>7460</v>
      </c>
      <c r="D80" s="189" t="s">
        <v>321</v>
      </c>
      <c r="E80" s="246">
        <v>727670</v>
      </c>
      <c r="F80" s="253">
        <v>816817</v>
      </c>
      <c r="G80" s="253">
        <v>848463</v>
      </c>
      <c r="H80" s="253">
        <v>890886</v>
      </c>
      <c r="I80" s="253">
        <v>935430</v>
      </c>
    </row>
    <row r="81" spans="1:9" ht="25.5">
      <c r="A81" s="244">
        <v>74</v>
      </c>
      <c r="B81" s="245" t="s">
        <v>147</v>
      </c>
      <c r="C81" s="244">
        <v>7463</v>
      </c>
      <c r="D81" s="189" t="s">
        <v>322</v>
      </c>
      <c r="E81" s="246">
        <v>748924</v>
      </c>
      <c r="F81" s="253">
        <v>831306</v>
      </c>
      <c r="G81" s="253">
        <v>839619</v>
      </c>
      <c r="H81" s="253">
        <v>848015</v>
      </c>
      <c r="I81" s="253">
        <v>856495</v>
      </c>
    </row>
    <row r="82" spans="1:9" ht="25.5">
      <c r="A82" s="244">
        <v>75</v>
      </c>
      <c r="B82" s="245" t="s">
        <v>148</v>
      </c>
      <c r="C82" s="244">
        <v>7465</v>
      </c>
      <c r="D82" s="189" t="s">
        <v>323</v>
      </c>
      <c r="E82" s="254">
        <v>1.0291999999999999</v>
      </c>
      <c r="F82" s="254">
        <v>1.0177</v>
      </c>
      <c r="G82" s="254">
        <v>0.98960000000000004</v>
      </c>
      <c r="H82" s="254">
        <v>0.95189999999999997</v>
      </c>
      <c r="I82" s="254">
        <v>0.91559999999999997</v>
      </c>
    </row>
    <row r="83" spans="1:9" ht="89.25">
      <c r="A83" s="244">
        <v>76</v>
      </c>
      <c r="B83" s="245" t="s">
        <v>149</v>
      </c>
      <c r="C83" s="244">
        <v>7470</v>
      </c>
      <c r="D83" s="189" t="s">
        <v>324</v>
      </c>
      <c r="E83" s="254">
        <v>1.0840000000000001</v>
      </c>
      <c r="F83" s="255">
        <v>1.02</v>
      </c>
      <c r="G83" s="255">
        <v>1.02</v>
      </c>
      <c r="H83" s="255">
        <v>1.02</v>
      </c>
      <c r="I83" s="255">
        <v>1.02</v>
      </c>
    </row>
    <row r="84" spans="1:9" ht="18">
      <c r="A84" s="244">
        <v>77</v>
      </c>
      <c r="B84" s="256" t="s">
        <v>202</v>
      </c>
      <c r="C84" s="244">
        <v>7475</v>
      </c>
      <c r="D84" s="257"/>
      <c r="E84" s="258">
        <v>0</v>
      </c>
      <c r="F84" s="258">
        <v>0</v>
      </c>
      <c r="G84" s="258">
        <v>0</v>
      </c>
      <c r="H84" s="258">
        <v>0</v>
      </c>
      <c r="I84" s="258">
        <v>0</v>
      </c>
    </row>
  </sheetData>
  <mergeCells count="7">
    <mergeCell ref="F5:F6"/>
    <mergeCell ref="G5:I5"/>
    <mergeCell ref="E5:E6"/>
    <mergeCell ref="A5:A6"/>
    <mergeCell ref="B5:B6"/>
    <mergeCell ref="C5:C6"/>
    <mergeCell ref="D5:D6"/>
  </mergeCells>
  <pageMargins left="0.15748031496062992" right="0.15748031496062992" top="0.59055118110236227" bottom="0.19685039370078741" header="0.51181102362204722" footer="0.51181102362204722"/>
  <pageSetup paperSize="8" scale="89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1:I83"/>
  <sheetViews>
    <sheetView view="pageBreakPreview" zoomScale="90" zoomScaleNormal="100" zoomScaleSheetLayoutView="90" workbookViewId="0">
      <selection activeCell="H2" sqref="H2"/>
    </sheetView>
  </sheetViews>
  <sheetFormatPr defaultRowHeight="15"/>
  <cols>
    <col min="1" max="1" width="10.140625" style="81" customWidth="1"/>
    <col min="2" max="2" width="28.7109375" style="81" customWidth="1"/>
    <col min="3" max="3" width="13.85546875" style="81" customWidth="1"/>
    <col min="4" max="4" width="18.7109375" style="81" customWidth="1"/>
    <col min="5" max="5" width="18.140625" style="81" customWidth="1"/>
    <col min="6" max="6" width="17.7109375" style="81" customWidth="1"/>
    <col min="7" max="7" width="17.85546875" style="81" customWidth="1"/>
    <col min="8" max="8" width="20.140625" style="81" customWidth="1"/>
    <col min="9" max="9" width="14.5703125" style="81" customWidth="1"/>
    <col min="10" max="239" width="10.42578125" style="81" customWidth="1"/>
    <col min="240" max="255" width="9.140625" style="81"/>
    <col min="256" max="256" width="52.42578125" style="81" customWidth="1"/>
    <col min="257" max="258" width="10.42578125" style="81" customWidth="1"/>
    <col min="259" max="259" width="13.85546875" style="81" customWidth="1"/>
    <col min="260" max="260" width="12.42578125" style="81" customWidth="1"/>
    <col min="261" max="261" width="13.140625" style="81" customWidth="1"/>
    <col min="262" max="262" width="12.42578125" style="81" customWidth="1"/>
    <col min="263" max="263" width="14.42578125" style="81" customWidth="1"/>
    <col min="264" max="495" width="10.42578125" style="81" customWidth="1"/>
    <col min="496" max="511" width="9.140625" style="81"/>
    <col min="512" max="512" width="52.42578125" style="81" customWidth="1"/>
    <col min="513" max="514" width="10.42578125" style="81" customWidth="1"/>
    <col min="515" max="515" width="13.85546875" style="81" customWidth="1"/>
    <col min="516" max="516" width="12.42578125" style="81" customWidth="1"/>
    <col min="517" max="517" width="13.140625" style="81" customWidth="1"/>
    <col min="518" max="518" width="12.42578125" style="81" customWidth="1"/>
    <col min="519" max="519" width="14.42578125" style="81" customWidth="1"/>
    <col min="520" max="751" width="10.42578125" style="81" customWidth="1"/>
    <col min="752" max="767" width="9.140625" style="81"/>
    <col min="768" max="768" width="52.42578125" style="81" customWidth="1"/>
    <col min="769" max="770" width="10.42578125" style="81" customWidth="1"/>
    <col min="771" max="771" width="13.85546875" style="81" customWidth="1"/>
    <col min="772" max="772" width="12.42578125" style="81" customWidth="1"/>
    <col min="773" max="773" width="13.140625" style="81" customWidth="1"/>
    <col min="774" max="774" width="12.42578125" style="81" customWidth="1"/>
    <col min="775" max="775" width="14.42578125" style="81" customWidth="1"/>
    <col min="776" max="1007" width="10.42578125" style="81" customWidth="1"/>
    <col min="1008" max="1023" width="9.140625" style="81"/>
    <col min="1024" max="1024" width="52.42578125" style="81" customWidth="1"/>
    <col min="1025" max="1026" width="10.42578125" style="81" customWidth="1"/>
    <col min="1027" max="1027" width="13.85546875" style="81" customWidth="1"/>
    <col min="1028" max="1028" width="12.42578125" style="81" customWidth="1"/>
    <col min="1029" max="1029" width="13.140625" style="81" customWidth="1"/>
    <col min="1030" max="1030" width="12.42578125" style="81" customWidth="1"/>
    <col min="1031" max="1031" width="14.42578125" style="81" customWidth="1"/>
    <col min="1032" max="1263" width="10.42578125" style="81" customWidth="1"/>
    <col min="1264" max="1279" width="9.140625" style="81"/>
    <col min="1280" max="1280" width="52.42578125" style="81" customWidth="1"/>
    <col min="1281" max="1282" width="10.42578125" style="81" customWidth="1"/>
    <col min="1283" max="1283" width="13.85546875" style="81" customWidth="1"/>
    <col min="1284" max="1284" width="12.42578125" style="81" customWidth="1"/>
    <col min="1285" max="1285" width="13.140625" style="81" customWidth="1"/>
    <col min="1286" max="1286" width="12.42578125" style="81" customWidth="1"/>
    <col min="1287" max="1287" width="14.42578125" style="81" customWidth="1"/>
    <col min="1288" max="1519" width="10.42578125" style="81" customWidth="1"/>
    <col min="1520" max="1535" width="9.140625" style="81"/>
    <col min="1536" max="1536" width="52.42578125" style="81" customWidth="1"/>
    <col min="1537" max="1538" width="10.42578125" style="81" customWidth="1"/>
    <col min="1539" max="1539" width="13.85546875" style="81" customWidth="1"/>
    <col min="1540" max="1540" width="12.42578125" style="81" customWidth="1"/>
    <col min="1541" max="1541" width="13.140625" style="81" customWidth="1"/>
    <col min="1542" max="1542" width="12.42578125" style="81" customWidth="1"/>
    <col min="1543" max="1543" width="14.42578125" style="81" customWidth="1"/>
    <col min="1544" max="1775" width="10.42578125" style="81" customWidth="1"/>
    <col min="1776" max="1791" width="9.140625" style="81"/>
    <col min="1792" max="1792" width="52.42578125" style="81" customWidth="1"/>
    <col min="1793" max="1794" width="10.42578125" style="81" customWidth="1"/>
    <col min="1795" max="1795" width="13.85546875" style="81" customWidth="1"/>
    <col min="1796" max="1796" width="12.42578125" style="81" customWidth="1"/>
    <col min="1797" max="1797" width="13.140625" style="81" customWidth="1"/>
    <col min="1798" max="1798" width="12.42578125" style="81" customWidth="1"/>
    <col min="1799" max="1799" width="14.42578125" style="81" customWidth="1"/>
    <col min="1800" max="2031" width="10.42578125" style="81" customWidth="1"/>
    <col min="2032" max="2047" width="9.140625" style="81"/>
    <col min="2048" max="2048" width="52.42578125" style="81" customWidth="1"/>
    <col min="2049" max="2050" width="10.42578125" style="81" customWidth="1"/>
    <col min="2051" max="2051" width="13.85546875" style="81" customWidth="1"/>
    <col min="2052" max="2052" width="12.42578125" style="81" customWidth="1"/>
    <col min="2053" max="2053" width="13.140625" style="81" customWidth="1"/>
    <col min="2054" max="2054" width="12.42578125" style="81" customWidth="1"/>
    <col min="2055" max="2055" width="14.42578125" style="81" customWidth="1"/>
    <col min="2056" max="2287" width="10.42578125" style="81" customWidth="1"/>
    <col min="2288" max="2303" width="9.140625" style="81"/>
    <col min="2304" max="2304" width="52.42578125" style="81" customWidth="1"/>
    <col min="2305" max="2306" width="10.42578125" style="81" customWidth="1"/>
    <col min="2307" max="2307" width="13.85546875" style="81" customWidth="1"/>
    <col min="2308" max="2308" width="12.42578125" style="81" customWidth="1"/>
    <col min="2309" max="2309" width="13.140625" style="81" customWidth="1"/>
    <col min="2310" max="2310" width="12.42578125" style="81" customWidth="1"/>
    <col min="2311" max="2311" width="14.42578125" style="81" customWidth="1"/>
    <col min="2312" max="2543" width="10.42578125" style="81" customWidth="1"/>
    <col min="2544" max="2559" width="9.140625" style="81"/>
    <col min="2560" max="2560" width="52.42578125" style="81" customWidth="1"/>
    <col min="2561" max="2562" width="10.42578125" style="81" customWidth="1"/>
    <col min="2563" max="2563" width="13.85546875" style="81" customWidth="1"/>
    <col min="2564" max="2564" width="12.42578125" style="81" customWidth="1"/>
    <col min="2565" max="2565" width="13.140625" style="81" customWidth="1"/>
    <col min="2566" max="2566" width="12.42578125" style="81" customWidth="1"/>
    <col min="2567" max="2567" width="14.42578125" style="81" customWidth="1"/>
    <col min="2568" max="2799" width="10.42578125" style="81" customWidth="1"/>
    <col min="2800" max="2815" width="9.140625" style="81"/>
    <col min="2816" max="2816" width="52.42578125" style="81" customWidth="1"/>
    <col min="2817" max="2818" width="10.42578125" style="81" customWidth="1"/>
    <col min="2819" max="2819" width="13.85546875" style="81" customWidth="1"/>
    <col min="2820" max="2820" width="12.42578125" style="81" customWidth="1"/>
    <col min="2821" max="2821" width="13.140625" style="81" customWidth="1"/>
    <col min="2822" max="2822" width="12.42578125" style="81" customWidth="1"/>
    <col min="2823" max="2823" width="14.42578125" style="81" customWidth="1"/>
    <col min="2824" max="3055" width="10.42578125" style="81" customWidth="1"/>
    <col min="3056" max="3071" width="9.140625" style="81"/>
    <col min="3072" max="3072" width="52.42578125" style="81" customWidth="1"/>
    <col min="3073" max="3074" width="10.42578125" style="81" customWidth="1"/>
    <col min="3075" max="3075" width="13.85546875" style="81" customWidth="1"/>
    <col min="3076" max="3076" width="12.42578125" style="81" customWidth="1"/>
    <col min="3077" max="3077" width="13.140625" style="81" customWidth="1"/>
    <col min="3078" max="3078" width="12.42578125" style="81" customWidth="1"/>
    <col min="3079" max="3079" width="14.42578125" style="81" customWidth="1"/>
    <col min="3080" max="3311" width="10.42578125" style="81" customWidth="1"/>
    <col min="3312" max="3327" width="9.140625" style="81"/>
    <col min="3328" max="3328" width="52.42578125" style="81" customWidth="1"/>
    <col min="3329" max="3330" width="10.42578125" style="81" customWidth="1"/>
    <col min="3331" max="3331" width="13.85546875" style="81" customWidth="1"/>
    <col min="3332" max="3332" width="12.42578125" style="81" customWidth="1"/>
    <col min="3333" max="3333" width="13.140625" style="81" customWidth="1"/>
    <col min="3334" max="3334" width="12.42578125" style="81" customWidth="1"/>
    <col min="3335" max="3335" width="14.42578125" style="81" customWidth="1"/>
    <col min="3336" max="3567" width="10.42578125" style="81" customWidth="1"/>
    <col min="3568" max="3583" width="9.140625" style="81"/>
    <col min="3584" max="3584" width="52.42578125" style="81" customWidth="1"/>
    <col min="3585" max="3586" width="10.42578125" style="81" customWidth="1"/>
    <col min="3587" max="3587" width="13.85546875" style="81" customWidth="1"/>
    <col min="3588" max="3588" width="12.42578125" style="81" customWidth="1"/>
    <col min="3589" max="3589" width="13.140625" style="81" customWidth="1"/>
    <col min="3590" max="3590" width="12.42578125" style="81" customWidth="1"/>
    <col min="3591" max="3591" width="14.42578125" style="81" customWidth="1"/>
    <col min="3592" max="3823" width="10.42578125" style="81" customWidth="1"/>
    <col min="3824" max="3839" width="9.140625" style="81"/>
    <col min="3840" max="3840" width="52.42578125" style="81" customWidth="1"/>
    <col min="3841" max="3842" width="10.42578125" style="81" customWidth="1"/>
    <col min="3843" max="3843" width="13.85546875" style="81" customWidth="1"/>
    <col min="3844" max="3844" width="12.42578125" style="81" customWidth="1"/>
    <col min="3845" max="3845" width="13.140625" style="81" customWidth="1"/>
    <col min="3846" max="3846" width="12.42578125" style="81" customWidth="1"/>
    <col min="3847" max="3847" width="14.42578125" style="81" customWidth="1"/>
    <col min="3848" max="4079" width="10.42578125" style="81" customWidth="1"/>
    <col min="4080" max="4095" width="9.140625" style="81"/>
    <col min="4096" max="4096" width="52.42578125" style="81" customWidth="1"/>
    <col min="4097" max="4098" width="10.42578125" style="81" customWidth="1"/>
    <col min="4099" max="4099" width="13.85546875" style="81" customWidth="1"/>
    <col min="4100" max="4100" width="12.42578125" style="81" customWidth="1"/>
    <col min="4101" max="4101" width="13.140625" style="81" customWidth="1"/>
    <col min="4102" max="4102" width="12.42578125" style="81" customWidth="1"/>
    <col min="4103" max="4103" width="14.42578125" style="81" customWidth="1"/>
    <col min="4104" max="4335" width="10.42578125" style="81" customWidth="1"/>
    <col min="4336" max="4351" width="9.140625" style="81"/>
    <col min="4352" max="4352" width="52.42578125" style="81" customWidth="1"/>
    <col min="4353" max="4354" width="10.42578125" style="81" customWidth="1"/>
    <col min="4355" max="4355" width="13.85546875" style="81" customWidth="1"/>
    <col min="4356" max="4356" width="12.42578125" style="81" customWidth="1"/>
    <col min="4357" max="4357" width="13.140625" style="81" customWidth="1"/>
    <col min="4358" max="4358" width="12.42578125" style="81" customWidth="1"/>
    <col min="4359" max="4359" width="14.42578125" style="81" customWidth="1"/>
    <col min="4360" max="4591" width="10.42578125" style="81" customWidth="1"/>
    <col min="4592" max="4607" width="9.140625" style="81"/>
    <col min="4608" max="4608" width="52.42578125" style="81" customWidth="1"/>
    <col min="4609" max="4610" width="10.42578125" style="81" customWidth="1"/>
    <col min="4611" max="4611" width="13.85546875" style="81" customWidth="1"/>
    <col min="4612" max="4612" width="12.42578125" style="81" customWidth="1"/>
    <col min="4613" max="4613" width="13.140625" style="81" customWidth="1"/>
    <col min="4614" max="4614" width="12.42578125" style="81" customWidth="1"/>
    <col min="4615" max="4615" width="14.42578125" style="81" customWidth="1"/>
    <col min="4616" max="4847" width="10.42578125" style="81" customWidth="1"/>
    <col min="4848" max="4863" width="9.140625" style="81"/>
    <col min="4864" max="4864" width="52.42578125" style="81" customWidth="1"/>
    <col min="4865" max="4866" width="10.42578125" style="81" customWidth="1"/>
    <col min="4867" max="4867" width="13.85546875" style="81" customWidth="1"/>
    <col min="4868" max="4868" width="12.42578125" style="81" customWidth="1"/>
    <col min="4869" max="4869" width="13.140625" style="81" customWidth="1"/>
    <col min="4870" max="4870" width="12.42578125" style="81" customWidth="1"/>
    <col min="4871" max="4871" width="14.42578125" style="81" customWidth="1"/>
    <col min="4872" max="5103" width="10.42578125" style="81" customWidth="1"/>
    <col min="5104" max="5119" width="9.140625" style="81"/>
    <col min="5120" max="5120" width="52.42578125" style="81" customWidth="1"/>
    <col min="5121" max="5122" width="10.42578125" style="81" customWidth="1"/>
    <col min="5123" max="5123" width="13.85546875" style="81" customWidth="1"/>
    <col min="5124" max="5124" width="12.42578125" style="81" customWidth="1"/>
    <col min="5125" max="5125" width="13.140625" style="81" customWidth="1"/>
    <col min="5126" max="5126" width="12.42578125" style="81" customWidth="1"/>
    <col min="5127" max="5127" width="14.42578125" style="81" customWidth="1"/>
    <col min="5128" max="5359" width="10.42578125" style="81" customWidth="1"/>
    <col min="5360" max="5375" width="9.140625" style="81"/>
    <col min="5376" max="5376" width="52.42578125" style="81" customWidth="1"/>
    <col min="5377" max="5378" width="10.42578125" style="81" customWidth="1"/>
    <col min="5379" max="5379" width="13.85546875" style="81" customWidth="1"/>
    <col min="5380" max="5380" width="12.42578125" style="81" customWidth="1"/>
    <col min="5381" max="5381" width="13.140625" style="81" customWidth="1"/>
    <col min="5382" max="5382" width="12.42578125" style="81" customWidth="1"/>
    <col min="5383" max="5383" width="14.42578125" style="81" customWidth="1"/>
    <col min="5384" max="5615" width="10.42578125" style="81" customWidth="1"/>
    <col min="5616" max="5631" width="9.140625" style="81"/>
    <col min="5632" max="5632" width="52.42578125" style="81" customWidth="1"/>
    <col min="5633" max="5634" width="10.42578125" style="81" customWidth="1"/>
    <col min="5635" max="5635" width="13.85546875" style="81" customWidth="1"/>
    <col min="5636" max="5636" width="12.42578125" style="81" customWidth="1"/>
    <col min="5637" max="5637" width="13.140625" style="81" customWidth="1"/>
    <col min="5638" max="5638" width="12.42578125" style="81" customWidth="1"/>
    <col min="5639" max="5639" width="14.42578125" style="81" customWidth="1"/>
    <col min="5640" max="5871" width="10.42578125" style="81" customWidth="1"/>
    <col min="5872" max="5887" width="9.140625" style="81"/>
    <col min="5888" max="5888" width="52.42578125" style="81" customWidth="1"/>
    <col min="5889" max="5890" width="10.42578125" style="81" customWidth="1"/>
    <col min="5891" max="5891" width="13.85546875" style="81" customWidth="1"/>
    <col min="5892" max="5892" width="12.42578125" style="81" customWidth="1"/>
    <col min="5893" max="5893" width="13.140625" style="81" customWidth="1"/>
    <col min="5894" max="5894" width="12.42578125" style="81" customWidth="1"/>
    <col min="5895" max="5895" width="14.42578125" style="81" customWidth="1"/>
    <col min="5896" max="6127" width="10.42578125" style="81" customWidth="1"/>
    <col min="6128" max="6143" width="9.140625" style="81"/>
    <col min="6144" max="6144" width="52.42578125" style="81" customWidth="1"/>
    <col min="6145" max="6146" width="10.42578125" style="81" customWidth="1"/>
    <col min="6147" max="6147" width="13.85546875" style="81" customWidth="1"/>
    <col min="6148" max="6148" width="12.42578125" style="81" customWidth="1"/>
    <col min="6149" max="6149" width="13.140625" style="81" customWidth="1"/>
    <col min="6150" max="6150" width="12.42578125" style="81" customWidth="1"/>
    <col min="6151" max="6151" width="14.42578125" style="81" customWidth="1"/>
    <col min="6152" max="6383" width="10.42578125" style="81" customWidth="1"/>
    <col min="6384" max="6399" width="9.140625" style="81"/>
    <col min="6400" max="6400" width="52.42578125" style="81" customWidth="1"/>
    <col min="6401" max="6402" width="10.42578125" style="81" customWidth="1"/>
    <col min="6403" max="6403" width="13.85546875" style="81" customWidth="1"/>
    <col min="6404" max="6404" width="12.42578125" style="81" customWidth="1"/>
    <col min="6405" max="6405" width="13.140625" style="81" customWidth="1"/>
    <col min="6406" max="6406" width="12.42578125" style="81" customWidth="1"/>
    <col min="6407" max="6407" width="14.42578125" style="81" customWidth="1"/>
    <col min="6408" max="6639" width="10.42578125" style="81" customWidth="1"/>
    <col min="6640" max="6655" width="9.140625" style="81"/>
    <col min="6656" max="6656" width="52.42578125" style="81" customWidth="1"/>
    <col min="6657" max="6658" width="10.42578125" style="81" customWidth="1"/>
    <col min="6659" max="6659" width="13.85546875" style="81" customWidth="1"/>
    <col min="6660" max="6660" width="12.42578125" style="81" customWidth="1"/>
    <col min="6661" max="6661" width="13.140625" style="81" customWidth="1"/>
    <col min="6662" max="6662" width="12.42578125" style="81" customWidth="1"/>
    <col min="6663" max="6663" width="14.42578125" style="81" customWidth="1"/>
    <col min="6664" max="6895" width="10.42578125" style="81" customWidth="1"/>
    <col min="6896" max="6911" width="9.140625" style="81"/>
    <col min="6912" max="6912" width="52.42578125" style="81" customWidth="1"/>
    <col min="6913" max="6914" width="10.42578125" style="81" customWidth="1"/>
    <col min="6915" max="6915" width="13.85546875" style="81" customWidth="1"/>
    <col min="6916" max="6916" width="12.42578125" style="81" customWidth="1"/>
    <col min="6917" max="6917" width="13.140625" style="81" customWidth="1"/>
    <col min="6918" max="6918" width="12.42578125" style="81" customWidth="1"/>
    <col min="6919" max="6919" width="14.42578125" style="81" customWidth="1"/>
    <col min="6920" max="7151" width="10.42578125" style="81" customWidth="1"/>
    <col min="7152" max="7167" width="9.140625" style="81"/>
    <col min="7168" max="7168" width="52.42578125" style="81" customWidth="1"/>
    <col min="7169" max="7170" width="10.42578125" style="81" customWidth="1"/>
    <col min="7171" max="7171" width="13.85546875" style="81" customWidth="1"/>
    <col min="7172" max="7172" width="12.42578125" style="81" customWidth="1"/>
    <col min="7173" max="7173" width="13.140625" style="81" customWidth="1"/>
    <col min="7174" max="7174" width="12.42578125" style="81" customWidth="1"/>
    <col min="7175" max="7175" width="14.42578125" style="81" customWidth="1"/>
    <col min="7176" max="7407" width="10.42578125" style="81" customWidth="1"/>
    <col min="7408" max="7423" width="9.140625" style="81"/>
    <col min="7424" max="7424" width="52.42578125" style="81" customWidth="1"/>
    <col min="7425" max="7426" width="10.42578125" style="81" customWidth="1"/>
    <col min="7427" max="7427" width="13.85546875" style="81" customWidth="1"/>
    <col min="7428" max="7428" width="12.42578125" style="81" customWidth="1"/>
    <col min="7429" max="7429" width="13.140625" style="81" customWidth="1"/>
    <col min="7430" max="7430" width="12.42578125" style="81" customWidth="1"/>
    <col min="7431" max="7431" width="14.42578125" style="81" customWidth="1"/>
    <col min="7432" max="7663" width="10.42578125" style="81" customWidth="1"/>
    <col min="7664" max="7679" width="9.140625" style="81"/>
    <col min="7680" max="7680" width="52.42578125" style="81" customWidth="1"/>
    <col min="7681" max="7682" width="10.42578125" style="81" customWidth="1"/>
    <col min="7683" max="7683" width="13.85546875" style="81" customWidth="1"/>
    <col min="7684" max="7684" width="12.42578125" style="81" customWidth="1"/>
    <col min="7685" max="7685" width="13.140625" style="81" customWidth="1"/>
    <col min="7686" max="7686" width="12.42578125" style="81" customWidth="1"/>
    <col min="7687" max="7687" width="14.42578125" style="81" customWidth="1"/>
    <col min="7688" max="7919" width="10.42578125" style="81" customWidth="1"/>
    <col min="7920" max="7935" width="9.140625" style="81"/>
    <col min="7936" max="7936" width="52.42578125" style="81" customWidth="1"/>
    <col min="7937" max="7938" width="10.42578125" style="81" customWidth="1"/>
    <col min="7939" max="7939" width="13.85546875" style="81" customWidth="1"/>
    <col min="7940" max="7940" width="12.42578125" style="81" customWidth="1"/>
    <col min="7941" max="7941" width="13.140625" style="81" customWidth="1"/>
    <col min="7942" max="7942" width="12.42578125" style="81" customWidth="1"/>
    <col min="7943" max="7943" width="14.42578125" style="81" customWidth="1"/>
    <col min="7944" max="8175" width="10.42578125" style="81" customWidth="1"/>
    <col min="8176" max="8191" width="9.140625" style="81"/>
    <col min="8192" max="8192" width="52.42578125" style="81" customWidth="1"/>
    <col min="8193" max="8194" width="10.42578125" style="81" customWidth="1"/>
    <col min="8195" max="8195" width="13.85546875" style="81" customWidth="1"/>
    <col min="8196" max="8196" width="12.42578125" style="81" customWidth="1"/>
    <col min="8197" max="8197" width="13.140625" style="81" customWidth="1"/>
    <col min="8198" max="8198" width="12.42578125" style="81" customWidth="1"/>
    <col min="8199" max="8199" width="14.42578125" style="81" customWidth="1"/>
    <col min="8200" max="8431" width="10.42578125" style="81" customWidth="1"/>
    <col min="8432" max="8447" width="9.140625" style="81"/>
    <col min="8448" max="8448" width="52.42578125" style="81" customWidth="1"/>
    <col min="8449" max="8450" width="10.42578125" style="81" customWidth="1"/>
    <col min="8451" max="8451" width="13.85546875" style="81" customWidth="1"/>
    <col min="8452" max="8452" width="12.42578125" style="81" customWidth="1"/>
    <col min="8453" max="8453" width="13.140625" style="81" customWidth="1"/>
    <col min="8454" max="8454" width="12.42578125" style="81" customWidth="1"/>
    <col min="8455" max="8455" width="14.42578125" style="81" customWidth="1"/>
    <col min="8456" max="8687" width="10.42578125" style="81" customWidth="1"/>
    <col min="8688" max="8703" width="9.140625" style="81"/>
    <col min="8704" max="8704" width="52.42578125" style="81" customWidth="1"/>
    <col min="8705" max="8706" width="10.42578125" style="81" customWidth="1"/>
    <col min="8707" max="8707" width="13.85546875" style="81" customWidth="1"/>
    <col min="8708" max="8708" width="12.42578125" style="81" customWidth="1"/>
    <col min="8709" max="8709" width="13.140625" style="81" customWidth="1"/>
    <col min="8710" max="8710" width="12.42578125" style="81" customWidth="1"/>
    <col min="8711" max="8711" width="14.42578125" style="81" customWidth="1"/>
    <col min="8712" max="8943" width="10.42578125" style="81" customWidth="1"/>
    <col min="8944" max="8959" width="9.140625" style="81"/>
    <col min="8960" max="8960" width="52.42578125" style="81" customWidth="1"/>
    <col min="8961" max="8962" width="10.42578125" style="81" customWidth="1"/>
    <col min="8963" max="8963" width="13.85546875" style="81" customWidth="1"/>
    <col min="8964" max="8964" width="12.42578125" style="81" customWidth="1"/>
    <col min="8965" max="8965" width="13.140625" style="81" customWidth="1"/>
    <col min="8966" max="8966" width="12.42578125" style="81" customWidth="1"/>
    <col min="8967" max="8967" width="14.42578125" style="81" customWidth="1"/>
    <col min="8968" max="9199" width="10.42578125" style="81" customWidth="1"/>
    <col min="9200" max="9215" width="9.140625" style="81"/>
    <col min="9216" max="9216" width="52.42578125" style="81" customWidth="1"/>
    <col min="9217" max="9218" width="10.42578125" style="81" customWidth="1"/>
    <col min="9219" max="9219" width="13.85546875" style="81" customWidth="1"/>
    <col min="9220" max="9220" width="12.42578125" style="81" customWidth="1"/>
    <col min="9221" max="9221" width="13.140625" style="81" customWidth="1"/>
    <col min="9222" max="9222" width="12.42578125" style="81" customWidth="1"/>
    <col min="9223" max="9223" width="14.42578125" style="81" customWidth="1"/>
    <col min="9224" max="9455" width="10.42578125" style="81" customWidth="1"/>
    <col min="9456" max="9471" width="9.140625" style="81"/>
    <col min="9472" max="9472" width="52.42578125" style="81" customWidth="1"/>
    <col min="9473" max="9474" width="10.42578125" style="81" customWidth="1"/>
    <col min="9475" max="9475" width="13.85546875" style="81" customWidth="1"/>
    <col min="9476" max="9476" width="12.42578125" style="81" customWidth="1"/>
    <col min="9477" max="9477" width="13.140625" style="81" customWidth="1"/>
    <col min="9478" max="9478" width="12.42578125" style="81" customWidth="1"/>
    <col min="9479" max="9479" width="14.42578125" style="81" customWidth="1"/>
    <col min="9480" max="9711" width="10.42578125" style="81" customWidth="1"/>
    <col min="9712" max="9727" width="9.140625" style="81"/>
    <col min="9728" max="9728" width="52.42578125" style="81" customWidth="1"/>
    <col min="9729" max="9730" width="10.42578125" style="81" customWidth="1"/>
    <col min="9731" max="9731" width="13.85546875" style="81" customWidth="1"/>
    <col min="9732" max="9732" width="12.42578125" style="81" customWidth="1"/>
    <col min="9733" max="9733" width="13.140625" style="81" customWidth="1"/>
    <col min="9734" max="9734" width="12.42578125" style="81" customWidth="1"/>
    <col min="9735" max="9735" width="14.42578125" style="81" customWidth="1"/>
    <col min="9736" max="9967" width="10.42578125" style="81" customWidth="1"/>
    <col min="9968" max="9983" width="9.140625" style="81"/>
    <col min="9984" max="9984" width="52.42578125" style="81" customWidth="1"/>
    <col min="9985" max="9986" width="10.42578125" style="81" customWidth="1"/>
    <col min="9987" max="9987" width="13.85546875" style="81" customWidth="1"/>
    <col min="9988" max="9988" width="12.42578125" style="81" customWidth="1"/>
    <col min="9989" max="9989" width="13.140625" style="81" customWidth="1"/>
    <col min="9990" max="9990" width="12.42578125" style="81" customWidth="1"/>
    <col min="9991" max="9991" width="14.42578125" style="81" customWidth="1"/>
    <col min="9992" max="10223" width="10.42578125" style="81" customWidth="1"/>
    <col min="10224" max="10239" width="9.140625" style="81"/>
    <col min="10240" max="10240" width="52.42578125" style="81" customWidth="1"/>
    <col min="10241" max="10242" width="10.42578125" style="81" customWidth="1"/>
    <col min="10243" max="10243" width="13.85546875" style="81" customWidth="1"/>
    <col min="10244" max="10244" width="12.42578125" style="81" customWidth="1"/>
    <col min="10245" max="10245" width="13.140625" style="81" customWidth="1"/>
    <col min="10246" max="10246" width="12.42578125" style="81" customWidth="1"/>
    <col min="10247" max="10247" width="14.42578125" style="81" customWidth="1"/>
    <col min="10248" max="10479" width="10.42578125" style="81" customWidth="1"/>
    <col min="10480" max="10495" width="9.140625" style="81"/>
    <col min="10496" max="10496" width="52.42578125" style="81" customWidth="1"/>
    <col min="10497" max="10498" width="10.42578125" style="81" customWidth="1"/>
    <col min="10499" max="10499" width="13.85546875" style="81" customWidth="1"/>
    <col min="10500" max="10500" width="12.42578125" style="81" customWidth="1"/>
    <col min="10501" max="10501" width="13.140625" style="81" customWidth="1"/>
    <col min="10502" max="10502" width="12.42578125" style="81" customWidth="1"/>
    <col min="10503" max="10503" width="14.42578125" style="81" customWidth="1"/>
    <col min="10504" max="10735" width="10.42578125" style="81" customWidth="1"/>
    <col min="10736" max="10751" width="9.140625" style="81"/>
    <col min="10752" max="10752" width="52.42578125" style="81" customWidth="1"/>
    <col min="10753" max="10754" width="10.42578125" style="81" customWidth="1"/>
    <col min="10755" max="10755" width="13.85546875" style="81" customWidth="1"/>
    <col min="10756" max="10756" width="12.42578125" style="81" customWidth="1"/>
    <col min="10757" max="10757" width="13.140625" style="81" customWidth="1"/>
    <col min="10758" max="10758" width="12.42578125" style="81" customWidth="1"/>
    <col min="10759" max="10759" width="14.42578125" style="81" customWidth="1"/>
    <col min="10760" max="10991" width="10.42578125" style="81" customWidth="1"/>
    <col min="10992" max="11007" width="9.140625" style="81"/>
    <col min="11008" max="11008" width="52.42578125" style="81" customWidth="1"/>
    <col min="11009" max="11010" width="10.42578125" style="81" customWidth="1"/>
    <col min="11011" max="11011" width="13.85546875" style="81" customWidth="1"/>
    <col min="11012" max="11012" width="12.42578125" style="81" customWidth="1"/>
    <col min="11013" max="11013" width="13.140625" style="81" customWidth="1"/>
    <col min="11014" max="11014" width="12.42578125" style="81" customWidth="1"/>
    <col min="11015" max="11015" width="14.42578125" style="81" customWidth="1"/>
    <col min="11016" max="11247" width="10.42578125" style="81" customWidth="1"/>
    <col min="11248" max="11263" width="9.140625" style="81"/>
    <col min="11264" max="11264" width="52.42578125" style="81" customWidth="1"/>
    <col min="11265" max="11266" width="10.42578125" style="81" customWidth="1"/>
    <col min="11267" max="11267" width="13.85546875" style="81" customWidth="1"/>
    <col min="11268" max="11268" width="12.42578125" style="81" customWidth="1"/>
    <col min="11269" max="11269" width="13.140625" style="81" customWidth="1"/>
    <col min="11270" max="11270" width="12.42578125" style="81" customWidth="1"/>
    <col min="11271" max="11271" width="14.42578125" style="81" customWidth="1"/>
    <col min="11272" max="11503" width="10.42578125" style="81" customWidth="1"/>
    <col min="11504" max="11519" width="9.140625" style="81"/>
    <col min="11520" max="11520" width="52.42578125" style="81" customWidth="1"/>
    <col min="11521" max="11522" width="10.42578125" style="81" customWidth="1"/>
    <col min="11523" max="11523" width="13.85546875" style="81" customWidth="1"/>
    <col min="11524" max="11524" width="12.42578125" style="81" customWidth="1"/>
    <col min="11525" max="11525" width="13.140625" style="81" customWidth="1"/>
    <col min="11526" max="11526" width="12.42578125" style="81" customWidth="1"/>
    <col min="11527" max="11527" width="14.42578125" style="81" customWidth="1"/>
    <col min="11528" max="11759" width="10.42578125" style="81" customWidth="1"/>
    <col min="11760" max="11775" width="9.140625" style="81"/>
    <col min="11776" max="11776" width="52.42578125" style="81" customWidth="1"/>
    <col min="11777" max="11778" width="10.42578125" style="81" customWidth="1"/>
    <col min="11779" max="11779" width="13.85546875" style="81" customWidth="1"/>
    <col min="11780" max="11780" width="12.42578125" style="81" customWidth="1"/>
    <col min="11781" max="11781" width="13.140625" style="81" customWidth="1"/>
    <col min="11782" max="11782" width="12.42578125" style="81" customWidth="1"/>
    <col min="11783" max="11783" width="14.42578125" style="81" customWidth="1"/>
    <col min="11784" max="12015" width="10.42578125" style="81" customWidth="1"/>
    <col min="12016" max="12031" width="9.140625" style="81"/>
    <col min="12032" max="12032" width="52.42578125" style="81" customWidth="1"/>
    <col min="12033" max="12034" width="10.42578125" style="81" customWidth="1"/>
    <col min="12035" max="12035" width="13.85546875" style="81" customWidth="1"/>
    <col min="12036" max="12036" width="12.42578125" style="81" customWidth="1"/>
    <col min="12037" max="12037" width="13.140625" style="81" customWidth="1"/>
    <col min="12038" max="12038" width="12.42578125" style="81" customWidth="1"/>
    <col min="12039" max="12039" width="14.42578125" style="81" customWidth="1"/>
    <col min="12040" max="12271" width="10.42578125" style="81" customWidth="1"/>
    <col min="12272" max="12287" width="9.140625" style="81"/>
    <col min="12288" max="12288" width="52.42578125" style="81" customWidth="1"/>
    <col min="12289" max="12290" width="10.42578125" style="81" customWidth="1"/>
    <col min="12291" max="12291" width="13.85546875" style="81" customWidth="1"/>
    <col min="12292" max="12292" width="12.42578125" style="81" customWidth="1"/>
    <col min="12293" max="12293" width="13.140625" style="81" customWidth="1"/>
    <col min="12294" max="12294" width="12.42578125" style="81" customWidth="1"/>
    <col min="12295" max="12295" width="14.42578125" style="81" customWidth="1"/>
    <col min="12296" max="12527" width="10.42578125" style="81" customWidth="1"/>
    <col min="12528" max="12543" width="9.140625" style="81"/>
    <col min="12544" max="12544" width="52.42578125" style="81" customWidth="1"/>
    <col min="12545" max="12546" width="10.42578125" style="81" customWidth="1"/>
    <col min="12547" max="12547" width="13.85546875" style="81" customWidth="1"/>
    <col min="12548" max="12548" width="12.42578125" style="81" customWidth="1"/>
    <col min="12549" max="12549" width="13.140625" style="81" customWidth="1"/>
    <col min="12550" max="12550" width="12.42578125" style="81" customWidth="1"/>
    <col min="12551" max="12551" width="14.42578125" style="81" customWidth="1"/>
    <col min="12552" max="12783" width="10.42578125" style="81" customWidth="1"/>
    <col min="12784" max="12799" width="9.140625" style="81"/>
    <col min="12800" max="12800" width="52.42578125" style="81" customWidth="1"/>
    <col min="12801" max="12802" width="10.42578125" style="81" customWidth="1"/>
    <col min="12803" max="12803" width="13.85546875" style="81" customWidth="1"/>
    <col min="12804" max="12804" width="12.42578125" style="81" customWidth="1"/>
    <col min="12805" max="12805" width="13.140625" style="81" customWidth="1"/>
    <col min="12806" max="12806" width="12.42578125" style="81" customWidth="1"/>
    <col min="12807" max="12807" width="14.42578125" style="81" customWidth="1"/>
    <col min="12808" max="13039" width="10.42578125" style="81" customWidth="1"/>
    <col min="13040" max="13055" width="9.140625" style="81"/>
    <col min="13056" max="13056" width="52.42578125" style="81" customWidth="1"/>
    <col min="13057" max="13058" width="10.42578125" style="81" customWidth="1"/>
    <col min="13059" max="13059" width="13.85546875" style="81" customWidth="1"/>
    <col min="13060" max="13060" width="12.42578125" style="81" customWidth="1"/>
    <col min="13061" max="13061" width="13.140625" style="81" customWidth="1"/>
    <col min="13062" max="13062" width="12.42578125" style="81" customWidth="1"/>
    <col min="13063" max="13063" width="14.42578125" style="81" customWidth="1"/>
    <col min="13064" max="13295" width="10.42578125" style="81" customWidth="1"/>
    <col min="13296" max="13311" width="9.140625" style="81"/>
    <col min="13312" max="13312" width="52.42578125" style="81" customWidth="1"/>
    <col min="13313" max="13314" width="10.42578125" style="81" customWidth="1"/>
    <col min="13315" max="13315" width="13.85546875" style="81" customWidth="1"/>
    <col min="13316" max="13316" width="12.42578125" style="81" customWidth="1"/>
    <col min="13317" max="13317" width="13.140625" style="81" customWidth="1"/>
    <col min="13318" max="13318" width="12.42578125" style="81" customWidth="1"/>
    <col min="13319" max="13319" width="14.42578125" style="81" customWidth="1"/>
    <col min="13320" max="13551" width="10.42578125" style="81" customWidth="1"/>
    <col min="13552" max="13567" width="9.140625" style="81"/>
    <col min="13568" max="13568" width="52.42578125" style="81" customWidth="1"/>
    <col min="13569" max="13570" width="10.42578125" style="81" customWidth="1"/>
    <col min="13571" max="13571" width="13.85546875" style="81" customWidth="1"/>
    <col min="13572" max="13572" width="12.42578125" style="81" customWidth="1"/>
    <col min="13573" max="13573" width="13.140625" style="81" customWidth="1"/>
    <col min="13574" max="13574" width="12.42578125" style="81" customWidth="1"/>
    <col min="13575" max="13575" width="14.42578125" style="81" customWidth="1"/>
    <col min="13576" max="13807" width="10.42578125" style="81" customWidth="1"/>
    <col min="13808" max="13823" width="9.140625" style="81"/>
    <col min="13824" max="13824" width="52.42578125" style="81" customWidth="1"/>
    <col min="13825" max="13826" width="10.42578125" style="81" customWidth="1"/>
    <col min="13827" max="13827" width="13.85546875" style="81" customWidth="1"/>
    <col min="13828" max="13828" width="12.42578125" style="81" customWidth="1"/>
    <col min="13829" max="13829" width="13.140625" style="81" customWidth="1"/>
    <col min="13830" max="13830" width="12.42578125" style="81" customWidth="1"/>
    <col min="13831" max="13831" width="14.42578125" style="81" customWidth="1"/>
    <col min="13832" max="14063" width="10.42578125" style="81" customWidth="1"/>
    <col min="14064" max="14079" width="9.140625" style="81"/>
    <col min="14080" max="14080" width="52.42578125" style="81" customWidth="1"/>
    <col min="14081" max="14082" width="10.42578125" style="81" customWidth="1"/>
    <col min="14083" max="14083" width="13.85546875" style="81" customWidth="1"/>
    <col min="14084" max="14084" width="12.42578125" style="81" customWidth="1"/>
    <col min="14085" max="14085" width="13.140625" style="81" customWidth="1"/>
    <col min="14086" max="14086" width="12.42578125" style="81" customWidth="1"/>
    <col min="14087" max="14087" width="14.42578125" style="81" customWidth="1"/>
    <col min="14088" max="14319" width="10.42578125" style="81" customWidth="1"/>
    <col min="14320" max="14335" width="9.140625" style="81"/>
    <col min="14336" max="14336" width="52.42578125" style="81" customWidth="1"/>
    <col min="14337" max="14338" width="10.42578125" style="81" customWidth="1"/>
    <col min="14339" max="14339" width="13.85546875" style="81" customWidth="1"/>
    <col min="14340" max="14340" width="12.42578125" style="81" customWidth="1"/>
    <col min="14341" max="14341" width="13.140625" style="81" customWidth="1"/>
    <col min="14342" max="14342" width="12.42578125" style="81" customWidth="1"/>
    <col min="14343" max="14343" width="14.42578125" style="81" customWidth="1"/>
    <col min="14344" max="14575" width="10.42578125" style="81" customWidth="1"/>
    <col min="14576" max="14591" width="9.140625" style="81"/>
    <col min="14592" max="14592" width="52.42578125" style="81" customWidth="1"/>
    <col min="14593" max="14594" width="10.42578125" style="81" customWidth="1"/>
    <col min="14595" max="14595" width="13.85546875" style="81" customWidth="1"/>
    <col min="14596" max="14596" width="12.42578125" style="81" customWidth="1"/>
    <col min="14597" max="14597" width="13.140625" style="81" customWidth="1"/>
    <col min="14598" max="14598" width="12.42578125" style="81" customWidth="1"/>
    <col min="14599" max="14599" width="14.42578125" style="81" customWidth="1"/>
    <col min="14600" max="14831" width="10.42578125" style="81" customWidth="1"/>
    <col min="14832" max="14847" width="9.140625" style="81"/>
    <col min="14848" max="14848" width="52.42578125" style="81" customWidth="1"/>
    <col min="14849" max="14850" width="10.42578125" style="81" customWidth="1"/>
    <col min="14851" max="14851" width="13.85546875" style="81" customWidth="1"/>
    <col min="14852" max="14852" width="12.42578125" style="81" customWidth="1"/>
    <col min="14853" max="14853" width="13.140625" style="81" customWidth="1"/>
    <col min="14854" max="14854" width="12.42578125" style="81" customWidth="1"/>
    <col min="14855" max="14855" width="14.42578125" style="81" customWidth="1"/>
    <col min="14856" max="15087" width="10.42578125" style="81" customWidth="1"/>
    <col min="15088" max="15103" width="9.140625" style="81"/>
    <col min="15104" max="15104" width="52.42578125" style="81" customWidth="1"/>
    <col min="15105" max="15106" width="10.42578125" style="81" customWidth="1"/>
    <col min="15107" max="15107" width="13.85546875" style="81" customWidth="1"/>
    <col min="15108" max="15108" width="12.42578125" style="81" customWidth="1"/>
    <col min="15109" max="15109" width="13.140625" style="81" customWidth="1"/>
    <col min="15110" max="15110" width="12.42578125" style="81" customWidth="1"/>
    <col min="15111" max="15111" width="14.42578125" style="81" customWidth="1"/>
    <col min="15112" max="15343" width="10.42578125" style="81" customWidth="1"/>
    <col min="15344" max="15359" width="9.140625" style="81"/>
    <col min="15360" max="15360" width="52.42578125" style="81" customWidth="1"/>
    <col min="15361" max="15362" width="10.42578125" style="81" customWidth="1"/>
    <col min="15363" max="15363" width="13.85546875" style="81" customWidth="1"/>
    <col min="15364" max="15364" width="12.42578125" style="81" customWidth="1"/>
    <col min="15365" max="15365" width="13.140625" style="81" customWidth="1"/>
    <col min="15366" max="15366" width="12.42578125" style="81" customWidth="1"/>
    <col min="15367" max="15367" width="14.42578125" style="81" customWidth="1"/>
    <col min="15368" max="15599" width="10.42578125" style="81" customWidth="1"/>
    <col min="15600" max="15615" width="9.140625" style="81"/>
    <col min="15616" max="15616" width="52.42578125" style="81" customWidth="1"/>
    <col min="15617" max="15618" width="10.42578125" style="81" customWidth="1"/>
    <col min="15619" max="15619" width="13.85546875" style="81" customWidth="1"/>
    <col min="15620" max="15620" width="12.42578125" style="81" customWidth="1"/>
    <col min="15621" max="15621" width="13.140625" style="81" customWidth="1"/>
    <col min="15622" max="15622" width="12.42578125" style="81" customWidth="1"/>
    <col min="15623" max="15623" width="14.42578125" style="81" customWidth="1"/>
    <col min="15624" max="15855" width="10.42578125" style="81" customWidth="1"/>
    <col min="15856" max="15871" width="9.140625" style="81"/>
    <col min="15872" max="15872" width="52.42578125" style="81" customWidth="1"/>
    <col min="15873" max="15874" width="10.42578125" style="81" customWidth="1"/>
    <col min="15875" max="15875" width="13.85546875" style="81" customWidth="1"/>
    <col min="15876" max="15876" width="12.42578125" style="81" customWidth="1"/>
    <col min="15877" max="15877" width="13.140625" style="81" customWidth="1"/>
    <col min="15878" max="15878" width="12.42578125" style="81" customWidth="1"/>
    <col min="15879" max="15879" width="14.42578125" style="81" customWidth="1"/>
    <col min="15880" max="16111" width="10.42578125" style="81" customWidth="1"/>
    <col min="16112" max="16127" width="9.140625" style="81"/>
    <col min="16128" max="16128" width="52.42578125" style="81" customWidth="1"/>
    <col min="16129" max="16130" width="10.42578125" style="81" customWidth="1"/>
    <col min="16131" max="16131" width="13.85546875" style="81" customWidth="1"/>
    <col min="16132" max="16132" width="12.42578125" style="81" customWidth="1"/>
    <col min="16133" max="16133" width="13.140625" style="81" customWidth="1"/>
    <col min="16134" max="16134" width="12.42578125" style="81" customWidth="1"/>
    <col min="16135" max="16135" width="14.42578125" style="81" customWidth="1"/>
    <col min="16136" max="16367" width="10.42578125" style="81" customWidth="1"/>
    <col min="16368" max="16384" width="9.140625" style="81"/>
  </cols>
  <sheetData>
    <row r="1" spans="1:9" s="80" customFormat="1">
      <c r="A1" s="79"/>
      <c r="G1" s="102"/>
      <c r="H1" s="349" t="s">
        <v>101</v>
      </c>
    </row>
    <row r="2" spans="1:9" s="80" customFormat="1" ht="33.75" customHeight="1">
      <c r="A2" s="99" t="s">
        <v>150</v>
      </c>
      <c r="B2" s="99"/>
      <c r="C2" s="99"/>
      <c r="D2" s="99"/>
      <c r="E2" s="99"/>
      <c r="F2" s="99"/>
      <c r="G2" s="99"/>
      <c r="H2" s="82"/>
      <c r="I2" s="82"/>
    </row>
    <row r="3" spans="1:9" s="80" customFormat="1" ht="25.5" customHeight="1">
      <c r="A3" s="72" t="s">
        <v>45</v>
      </c>
      <c r="B3" s="100" t="s">
        <v>90</v>
      </c>
      <c r="C3" s="101"/>
      <c r="D3" s="94"/>
      <c r="E3" s="94"/>
      <c r="F3" s="94"/>
      <c r="G3" s="94"/>
      <c r="H3" s="82"/>
      <c r="I3" s="82"/>
    </row>
    <row r="4" spans="1:9" s="80" customFormat="1" ht="15" customHeight="1">
      <c r="A4" s="94"/>
      <c r="B4" s="94"/>
      <c r="C4" s="94"/>
      <c r="D4" s="94"/>
      <c r="E4" s="94"/>
      <c r="F4" s="94"/>
      <c r="H4" s="88" t="s">
        <v>18</v>
      </c>
      <c r="I4" s="82"/>
    </row>
    <row r="5" spans="1:9" ht="39" customHeight="1">
      <c r="A5" s="373" t="s">
        <v>53</v>
      </c>
      <c r="B5" s="374" t="s">
        <v>104</v>
      </c>
      <c r="C5" s="373" t="s">
        <v>233</v>
      </c>
      <c r="D5" s="375" t="s">
        <v>234</v>
      </c>
      <c r="E5" s="376" t="s">
        <v>203</v>
      </c>
      <c r="F5" s="377" t="s">
        <v>204</v>
      </c>
      <c r="G5" s="376" t="s">
        <v>88</v>
      </c>
      <c r="H5" s="378"/>
      <c r="I5" s="378"/>
    </row>
    <row r="6" spans="1:9" ht="56.25" customHeight="1">
      <c r="A6" s="373"/>
      <c r="B6" s="374"/>
      <c r="C6" s="373"/>
      <c r="D6" s="375"/>
      <c r="E6" s="376"/>
      <c r="F6" s="377"/>
      <c r="G6" s="232">
        <v>2026</v>
      </c>
      <c r="H6" s="232">
        <v>2027</v>
      </c>
      <c r="I6" s="232">
        <v>2028</v>
      </c>
    </row>
    <row r="7" spans="1:9" ht="112.5" customHeight="1">
      <c r="A7" s="227"/>
      <c r="B7" s="262" t="s">
        <v>150</v>
      </c>
      <c r="C7" s="229">
        <v>7480</v>
      </c>
      <c r="D7" s="229" t="s">
        <v>325</v>
      </c>
      <c r="E7" s="260">
        <v>3280607</v>
      </c>
      <c r="F7" s="261">
        <f t="shared" ref="F7:I7" si="0">F80*F82+F83</f>
        <v>3168693.78</v>
      </c>
      <c r="G7" s="261">
        <f t="shared" si="0"/>
        <v>3229098.96</v>
      </c>
      <c r="H7" s="261">
        <f t="shared" si="0"/>
        <v>3377828.0249999999</v>
      </c>
      <c r="I7" s="261">
        <f t="shared" si="0"/>
        <v>3408119.3249999997</v>
      </c>
    </row>
    <row r="8" spans="1:9" ht="229.5">
      <c r="A8" s="244">
        <v>1</v>
      </c>
      <c r="B8" s="228" t="s">
        <v>119</v>
      </c>
      <c r="C8" s="244">
        <v>7485</v>
      </c>
      <c r="D8" s="189" t="s">
        <v>326</v>
      </c>
      <c r="E8" s="190">
        <f>E9+E15+E19+E22+E28+E29+E32+E35+E38+E41+E42+E43</f>
        <v>1043074</v>
      </c>
      <c r="F8" s="263">
        <f>F9+F15+F19+F22+F28+F29+F32+F35+F38+F41+F42+F43</f>
        <v>1043326</v>
      </c>
      <c r="G8" s="263">
        <f>G9+G15+G19+G22+G28+G29+G32+G35+G38+G41+G42+G43</f>
        <v>1043868</v>
      </c>
      <c r="H8" s="263">
        <f t="shared" ref="H8" si="1">H9+H15+H19+H22+H28+H29+H32+H35+H38+H41+H42+H43</f>
        <v>1047941</v>
      </c>
      <c r="I8" s="263">
        <f>I9+I15+I19+I22+I28+I29+I32+I35+I38+I41+I42+I43</f>
        <v>1052461</v>
      </c>
    </row>
    <row r="9" spans="1:9" ht="25.5">
      <c r="A9" s="244">
        <v>2</v>
      </c>
      <c r="B9" s="271" t="s">
        <v>120</v>
      </c>
      <c r="C9" s="244">
        <v>7486</v>
      </c>
      <c r="D9" s="189" t="s">
        <v>327</v>
      </c>
      <c r="E9" s="264">
        <f>E10+E11+E12+E13+E14</f>
        <v>912703</v>
      </c>
      <c r="F9" s="226">
        <f>F10+F11+F13+F12+F14</f>
        <v>914142</v>
      </c>
      <c r="G9" s="226">
        <f t="shared" ref="G9" si="2">G10+G11+G13+G12+G14</f>
        <v>916116</v>
      </c>
      <c r="H9" s="226">
        <f>H10+H11+H13+H12+H14</f>
        <v>921466</v>
      </c>
      <c r="I9" s="226">
        <f>I10+I11+I13+I12+I14</f>
        <v>927178</v>
      </c>
    </row>
    <row r="10" spans="1:9" ht="25.5">
      <c r="A10" s="244">
        <v>3</v>
      </c>
      <c r="B10" s="199" t="s">
        <v>121</v>
      </c>
      <c r="C10" s="244">
        <v>7489</v>
      </c>
      <c r="D10" s="189" t="s">
        <v>328</v>
      </c>
      <c r="E10" s="264">
        <v>303846</v>
      </c>
      <c r="F10" s="264">
        <v>295786</v>
      </c>
      <c r="G10" s="226">
        <v>286912</v>
      </c>
      <c r="H10" s="226">
        <v>281173</v>
      </c>
      <c r="I10" s="226">
        <v>275549</v>
      </c>
    </row>
    <row r="11" spans="1:9" ht="38.25">
      <c r="A11" s="244">
        <v>4</v>
      </c>
      <c r="B11" s="199" t="s">
        <v>122</v>
      </c>
      <c r="C11" s="244">
        <v>7492</v>
      </c>
      <c r="D11" s="189" t="s">
        <v>329</v>
      </c>
      <c r="E11" s="264">
        <v>398931</v>
      </c>
      <c r="F11" s="264">
        <v>405317</v>
      </c>
      <c r="G11" s="226">
        <v>409775</v>
      </c>
      <c r="H11" s="226">
        <v>414282</v>
      </c>
      <c r="I11" s="226">
        <v>418839</v>
      </c>
    </row>
    <row r="12" spans="1:9" ht="38.25">
      <c r="A12" s="244">
        <v>5</v>
      </c>
      <c r="B12" s="199" t="s">
        <v>123</v>
      </c>
      <c r="C12" s="244">
        <v>7495</v>
      </c>
      <c r="D12" s="189" t="s">
        <v>330</v>
      </c>
      <c r="E12" s="264">
        <v>117819</v>
      </c>
      <c r="F12" s="264">
        <v>119916</v>
      </c>
      <c r="G12" s="226">
        <v>123513</v>
      </c>
      <c r="H12" s="226">
        <v>127218</v>
      </c>
      <c r="I12" s="226">
        <v>131034</v>
      </c>
    </row>
    <row r="13" spans="1:9" ht="38.25">
      <c r="A13" s="244">
        <v>6</v>
      </c>
      <c r="B13" s="199" t="s">
        <v>124</v>
      </c>
      <c r="C13" s="244">
        <v>7498</v>
      </c>
      <c r="D13" s="189" t="s">
        <v>331</v>
      </c>
      <c r="E13" s="264">
        <v>58760</v>
      </c>
      <c r="F13" s="264">
        <v>59621</v>
      </c>
      <c r="G13" s="226">
        <v>61409</v>
      </c>
      <c r="H13" s="226">
        <v>63251</v>
      </c>
      <c r="I13" s="226">
        <v>65148</v>
      </c>
    </row>
    <row r="14" spans="1:9" ht="25.5">
      <c r="A14" s="244">
        <v>7</v>
      </c>
      <c r="B14" s="199" t="s">
        <v>125</v>
      </c>
      <c r="C14" s="244">
        <v>7501</v>
      </c>
      <c r="D14" s="189" t="s">
        <v>332</v>
      </c>
      <c r="E14" s="264">
        <v>33347</v>
      </c>
      <c r="F14" s="264">
        <v>33502</v>
      </c>
      <c r="G14" s="226">
        <v>34507</v>
      </c>
      <c r="H14" s="226">
        <v>35542</v>
      </c>
      <c r="I14" s="265">
        <v>36608</v>
      </c>
    </row>
    <row r="15" spans="1:9" ht="25.5">
      <c r="A15" s="244">
        <v>8</v>
      </c>
      <c r="B15" s="248" t="s">
        <v>126</v>
      </c>
      <c r="C15" s="244">
        <v>7504</v>
      </c>
      <c r="D15" s="189" t="s">
        <v>333</v>
      </c>
      <c r="E15" s="264">
        <v>17603</v>
      </c>
      <c r="F15" s="226">
        <f>F16+F17+F18</f>
        <v>17703</v>
      </c>
      <c r="G15" s="226">
        <f t="shared" ref="G15:I15" si="3">G16+G17+G18</f>
        <v>17253</v>
      </c>
      <c r="H15" s="226">
        <f t="shared" si="3"/>
        <v>16882</v>
      </c>
      <c r="I15" s="226">
        <f t="shared" si="3"/>
        <v>16583</v>
      </c>
    </row>
    <row r="16" spans="1:9" ht="25.5">
      <c r="A16" s="244">
        <v>9</v>
      </c>
      <c r="B16" s="199" t="s">
        <v>127</v>
      </c>
      <c r="C16" s="244">
        <v>7507</v>
      </c>
      <c r="D16" s="189" t="s">
        <v>334</v>
      </c>
      <c r="E16" s="264">
        <v>5874</v>
      </c>
      <c r="F16" s="264">
        <v>5702</v>
      </c>
      <c r="G16" s="226">
        <v>5417</v>
      </c>
      <c r="H16" s="226">
        <v>5147</v>
      </c>
      <c r="I16" s="226">
        <v>4890</v>
      </c>
    </row>
    <row r="17" spans="1:9" ht="38.25">
      <c r="A17" s="244">
        <v>10</v>
      </c>
      <c r="B17" s="199" t="s">
        <v>128</v>
      </c>
      <c r="C17" s="244">
        <v>7510</v>
      </c>
      <c r="D17" s="189" t="s">
        <v>335</v>
      </c>
      <c r="E17" s="264">
        <v>4912</v>
      </c>
      <c r="F17" s="264">
        <v>4856</v>
      </c>
      <c r="G17" s="226">
        <v>4370</v>
      </c>
      <c r="H17" s="226">
        <v>3934</v>
      </c>
      <c r="I17" s="226">
        <v>3541</v>
      </c>
    </row>
    <row r="18" spans="1:9" ht="25.5">
      <c r="A18" s="244">
        <v>11</v>
      </c>
      <c r="B18" s="199" t="s">
        <v>129</v>
      </c>
      <c r="C18" s="244">
        <v>7513</v>
      </c>
      <c r="D18" s="189" t="s">
        <v>336</v>
      </c>
      <c r="E18" s="264">
        <v>6817</v>
      </c>
      <c r="F18" s="264">
        <v>7145</v>
      </c>
      <c r="G18" s="226">
        <v>7466</v>
      </c>
      <c r="H18" s="226">
        <v>7801</v>
      </c>
      <c r="I18" s="226">
        <v>8152</v>
      </c>
    </row>
    <row r="19" spans="1:9" ht="25.5">
      <c r="A19" s="244">
        <v>12</v>
      </c>
      <c r="B19" s="248" t="s">
        <v>130</v>
      </c>
      <c r="C19" s="244">
        <v>7520</v>
      </c>
      <c r="D19" s="189" t="s">
        <v>337</v>
      </c>
      <c r="E19" s="264">
        <v>4940</v>
      </c>
      <c r="F19" s="226">
        <f>F20+F21</f>
        <v>4720</v>
      </c>
      <c r="G19" s="226">
        <f t="shared" ref="G19:I19" si="4">G20+G21</f>
        <v>4539</v>
      </c>
      <c r="H19" s="226">
        <f t="shared" si="4"/>
        <v>4367</v>
      </c>
      <c r="I19" s="226">
        <f t="shared" si="4"/>
        <v>4206</v>
      </c>
    </row>
    <row r="20" spans="1:9" ht="25.5">
      <c r="A20" s="244">
        <v>13</v>
      </c>
      <c r="B20" s="199" t="s">
        <v>131</v>
      </c>
      <c r="C20" s="244">
        <v>7523</v>
      </c>
      <c r="D20" s="189" t="s">
        <v>338</v>
      </c>
      <c r="E20" s="264">
        <v>4161</v>
      </c>
      <c r="F20" s="264">
        <v>3937</v>
      </c>
      <c r="G20" s="226">
        <v>3741</v>
      </c>
      <c r="H20" s="226">
        <v>3554</v>
      </c>
      <c r="I20" s="226">
        <v>3377</v>
      </c>
    </row>
    <row r="21" spans="1:9" ht="25.5">
      <c r="A21" s="244">
        <v>14</v>
      </c>
      <c r="B21" s="199" t="s">
        <v>132</v>
      </c>
      <c r="C21" s="244">
        <v>7526</v>
      </c>
      <c r="D21" s="189" t="s">
        <v>339</v>
      </c>
      <c r="E21" s="264">
        <v>779</v>
      </c>
      <c r="F21" s="264">
        <v>783</v>
      </c>
      <c r="G21" s="226">
        <v>798</v>
      </c>
      <c r="H21" s="226">
        <v>813</v>
      </c>
      <c r="I21" s="226">
        <v>829</v>
      </c>
    </row>
    <row r="22" spans="1:9" ht="25.5">
      <c r="A22" s="244">
        <v>15</v>
      </c>
      <c r="B22" s="248" t="s">
        <v>133</v>
      </c>
      <c r="C22" s="244">
        <v>7530</v>
      </c>
      <c r="D22" s="189" t="s">
        <v>340</v>
      </c>
      <c r="E22" s="264">
        <v>72251</v>
      </c>
      <c r="F22" s="226">
        <f>F23+F24+F25+F26+F27</f>
        <v>70813</v>
      </c>
      <c r="G22" s="226">
        <f t="shared" ref="G22:I22" si="5">G23+G24+G25+G26+G27</f>
        <v>69862</v>
      </c>
      <c r="H22" s="226">
        <f t="shared" si="5"/>
        <v>68954</v>
      </c>
      <c r="I22" s="226">
        <f t="shared" si="5"/>
        <v>68020</v>
      </c>
    </row>
    <row r="23" spans="1:9" ht="25.5">
      <c r="A23" s="244">
        <v>16</v>
      </c>
      <c r="B23" s="199" t="s">
        <v>121</v>
      </c>
      <c r="C23" s="244">
        <v>7533</v>
      </c>
      <c r="D23" s="189" t="s">
        <v>341</v>
      </c>
      <c r="E23" s="264">
        <v>19794</v>
      </c>
      <c r="F23" s="264">
        <v>18945</v>
      </c>
      <c r="G23" s="226">
        <v>18187</v>
      </c>
      <c r="H23" s="226">
        <v>17459</v>
      </c>
      <c r="I23" s="226">
        <v>16690</v>
      </c>
    </row>
    <row r="24" spans="1:9" ht="38.25">
      <c r="A24" s="244">
        <v>17</v>
      </c>
      <c r="B24" s="199" t="s">
        <v>122</v>
      </c>
      <c r="C24" s="244">
        <v>7537</v>
      </c>
      <c r="D24" s="189" t="s">
        <v>342</v>
      </c>
      <c r="E24" s="264">
        <v>30606</v>
      </c>
      <c r="F24" s="264">
        <v>30271</v>
      </c>
      <c r="G24" s="226">
        <v>29908</v>
      </c>
      <c r="H24" s="226">
        <v>29550</v>
      </c>
      <c r="I24" s="226">
        <v>29196</v>
      </c>
    </row>
    <row r="25" spans="1:9" ht="38.25">
      <c r="A25" s="244">
        <v>18</v>
      </c>
      <c r="B25" s="199" t="s">
        <v>123</v>
      </c>
      <c r="C25" s="244">
        <v>7540</v>
      </c>
      <c r="D25" s="189" t="s">
        <v>343</v>
      </c>
      <c r="E25" s="264">
        <v>4677</v>
      </c>
      <c r="F25" s="264">
        <v>4700</v>
      </c>
      <c r="G25" s="226">
        <v>4747</v>
      </c>
      <c r="H25" s="226">
        <v>4794</v>
      </c>
      <c r="I25" s="226">
        <v>4842</v>
      </c>
    </row>
    <row r="26" spans="1:9" ht="38.25">
      <c r="A26" s="244">
        <v>19</v>
      </c>
      <c r="B26" s="199" t="s">
        <v>124</v>
      </c>
      <c r="C26" s="244">
        <v>7543</v>
      </c>
      <c r="D26" s="189" t="s">
        <v>344</v>
      </c>
      <c r="E26" s="264">
        <v>6711</v>
      </c>
      <c r="F26" s="264">
        <v>6487</v>
      </c>
      <c r="G26" s="226">
        <v>6714</v>
      </c>
      <c r="H26" s="226">
        <v>6948</v>
      </c>
      <c r="I26" s="226">
        <v>7191</v>
      </c>
    </row>
    <row r="27" spans="1:9" ht="25.5">
      <c r="A27" s="244">
        <v>20</v>
      </c>
      <c r="B27" s="199" t="s">
        <v>125</v>
      </c>
      <c r="C27" s="244">
        <v>7547</v>
      </c>
      <c r="D27" s="189" t="s">
        <v>345</v>
      </c>
      <c r="E27" s="264">
        <v>10463</v>
      </c>
      <c r="F27" s="264">
        <v>10410</v>
      </c>
      <c r="G27" s="226">
        <v>10306</v>
      </c>
      <c r="H27" s="226">
        <v>10203</v>
      </c>
      <c r="I27" s="226">
        <v>10101</v>
      </c>
    </row>
    <row r="28" spans="1:9" ht="63.75">
      <c r="A28" s="244">
        <v>21</v>
      </c>
      <c r="B28" s="248" t="s">
        <v>304</v>
      </c>
      <c r="C28" s="244">
        <v>7550</v>
      </c>
      <c r="D28" s="189" t="s">
        <v>346</v>
      </c>
      <c r="E28" s="264">
        <v>18898</v>
      </c>
      <c r="F28" s="264">
        <v>18636</v>
      </c>
      <c r="G28" s="226">
        <v>18357</v>
      </c>
      <c r="H28" s="226">
        <v>18082</v>
      </c>
      <c r="I28" s="226">
        <v>17810</v>
      </c>
    </row>
    <row r="29" spans="1:9" ht="25.5">
      <c r="A29" s="244">
        <v>22</v>
      </c>
      <c r="B29" s="248" t="s">
        <v>135</v>
      </c>
      <c r="C29" s="244">
        <v>7555</v>
      </c>
      <c r="D29" s="189" t="s">
        <v>347</v>
      </c>
      <c r="E29" s="264">
        <v>4482</v>
      </c>
      <c r="F29" s="226">
        <f>F30+F31</f>
        <v>4619</v>
      </c>
      <c r="G29" s="226">
        <f t="shared" ref="G29:I29" si="6">G30+G31</f>
        <v>4755</v>
      </c>
      <c r="H29" s="226">
        <f t="shared" si="6"/>
        <v>4896</v>
      </c>
      <c r="I29" s="226">
        <f t="shared" si="6"/>
        <v>5042</v>
      </c>
    </row>
    <row r="30" spans="1:9" ht="25.5">
      <c r="A30" s="244">
        <v>23</v>
      </c>
      <c r="B30" s="199" t="s">
        <v>136</v>
      </c>
      <c r="C30" s="244">
        <v>7558</v>
      </c>
      <c r="D30" s="189" t="s">
        <v>348</v>
      </c>
      <c r="E30" s="264">
        <v>1880</v>
      </c>
      <c r="F30" s="264">
        <v>1905</v>
      </c>
      <c r="G30" s="226">
        <v>1933</v>
      </c>
      <c r="H30" s="226">
        <v>1962</v>
      </c>
      <c r="I30" s="226">
        <v>1991</v>
      </c>
    </row>
    <row r="31" spans="1:9" ht="25.5">
      <c r="A31" s="244">
        <v>24</v>
      </c>
      <c r="B31" s="199" t="s">
        <v>137</v>
      </c>
      <c r="C31" s="244">
        <v>7560</v>
      </c>
      <c r="D31" s="189" t="s">
        <v>349</v>
      </c>
      <c r="E31" s="264">
        <v>2602</v>
      </c>
      <c r="F31" s="264">
        <v>2714</v>
      </c>
      <c r="G31" s="226">
        <v>2822</v>
      </c>
      <c r="H31" s="226">
        <v>2934</v>
      </c>
      <c r="I31" s="226">
        <v>3051</v>
      </c>
    </row>
    <row r="32" spans="1:9" ht="51">
      <c r="A32" s="244">
        <v>25</v>
      </c>
      <c r="B32" s="248" t="s">
        <v>138</v>
      </c>
      <c r="C32" s="244">
        <v>7565</v>
      </c>
      <c r="D32" s="189" t="s">
        <v>350</v>
      </c>
      <c r="E32" s="264">
        <v>11061</v>
      </c>
      <c r="F32" s="226">
        <f>F33+F34</f>
        <v>11428</v>
      </c>
      <c r="G32" s="226">
        <f t="shared" ref="G32:I32" si="7">G33+G34</f>
        <v>11689</v>
      </c>
      <c r="H32" s="226">
        <f t="shared" si="7"/>
        <v>11958</v>
      </c>
      <c r="I32" s="226">
        <f t="shared" si="7"/>
        <v>12234</v>
      </c>
    </row>
    <row r="33" spans="1:9" ht="25.5">
      <c r="A33" s="244">
        <v>26</v>
      </c>
      <c r="B33" s="199" t="s">
        <v>121</v>
      </c>
      <c r="C33" s="244">
        <v>7568</v>
      </c>
      <c r="D33" s="189" t="s">
        <v>351</v>
      </c>
      <c r="E33" s="264">
        <v>9990</v>
      </c>
      <c r="F33" s="264">
        <v>10295</v>
      </c>
      <c r="G33" s="226">
        <v>10500</v>
      </c>
      <c r="H33" s="226">
        <v>10710</v>
      </c>
      <c r="I33" s="226">
        <v>10924</v>
      </c>
    </row>
    <row r="34" spans="1:9" ht="25.5">
      <c r="A34" s="244">
        <v>27</v>
      </c>
      <c r="B34" s="199" t="s">
        <v>139</v>
      </c>
      <c r="C34" s="244">
        <v>7570</v>
      </c>
      <c r="D34" s="189" t="s">
        <v>352</v>
      </c>
      <c r="E34" s="264">
        <v>1071</v>
      </c>
      <c r="F34" s="264">
        <v>1133</v>
      </c>
      <c r="G34" s="226">
        <v>1189</v>
      </c>
      <c r="H34" s="226">
        <v>1248</v>
      </c>
      <c r="I34" s="226">
        <v>1310</v>
      </c>
    </row>
    <row r="35" spans="1:9" ht="38.25">
      <c r="A35" s="244">
        <v>28</v>
      </c>
      <c r="B35" s="248" t="s">
        <v>140</v>
      </c>
      <c r="C35" s="244">
        <v>7573</v>
      </c>
      <c r="D35" s="189" t="s">
        <v>353</v>
      </c>
      <c r="E35" s="264">
        <v>65</v>
      </c>
      <c r="F35" s="226">
        <f>F36+F37</f>
        <v>91</v>
      </c>
      <c r="G35" s="226">
        <f t="shared" ref="G35:I35" si="8">G36+G37</f>
        <v>95</v>
      </c>
      <c r="H35" s="226">
        <f t="shared" si="8"/>
        <v>99</v>
      </c>
      <c r="I35" s="226">
        <f t="shared" si="8"/>
        <v>103</v>
      </c>
    </row>
    <row r="36" spans="1:9" ht="25.5">
      <c r="A36" s="244">
        <v>29</v>
      </c>
      <c r="B36" s="199" t="s">
        <v>121</v>
      </c>
      <c r="C36" s="244">
        <v>7575</v>
      </c>
      <c r="D36" s="189" t="s">
        <v>354</v>
      </c>
      <c r="E36" s="264">
        <v>62</v>
      </c>
      <c r="F36" s="264">
        <v>87</v>
      </c>
      <c r="G36" s="226">
        <v>91</v>
      </c>
      <c r="H36" s="226">
        <v>95</v>
      </c>
      <c r="I36" s="226">
        <v>99</v>
      </c>
    </row>
    <row r="37" spans="1:9" ht="25.5">
      <c r="A37" s="244">
        <v>30</v>
      </c>
      <c r="B37" s="199" t="s">
        <v>139</v>
      </c>
      <c r="C37" s="244">
        <v>7578</v>
      </c>
      <c r="D37" s="189" t="s">
        <v>355</v>
      </c>
      <c r="E37" s="264">
        <v>3</v>
      </c>
      <c r="F37" s="264">
        <v>4</v>
      </c>
      <c r="G37" s="226">
        <v>4</v>
      </c>
      <c r="H37" s="226">
        <v>4</v>
      </c>
      <c r="I37" s="226">
        <v>4</v>
      </c>
    </row>
    <row r="38" spans="1:9" ht="25.5">
      <c r="A38" s="244">
        <v>31</v>
      </c>
      <c r="B38" s="248" t="s">
        <v>141</v>
      </c>
      <c r="C38" s="244">
        <v>7580</v>
      </c>
      <c r="D38" s="189" t="s">
        <v>356</v>
      </c>
      <c r="E38" s="264">
        <v>506</v>
      </c>
      <c r="F38" s="226">
        <f>F39+F40</f>
        <v>608</v>
      </c>
      <c r="G38" s="226">
        <f t="shared" ref="G38:I38" si="9">G39+G40</f>
        <v>637</v>
      </c>
      <c r="H38" s="226">
        <f t="shared" si="9"/>
        <v>668</v>
      </c>
      <c r="I38" s="226">
        <f t="shared" si="9"/>
        <v>700</v>
      </c>
    </row>
    <row r="39" spans="1:9" ht="25.5">
      <c r="A39" s="244">
        <v>32</v>
      </c>
      <c r="B39" s="199" t="s">
        <v>121</v>
      </c>
      <c r="C39" s="244">
        <v>7583</v>
      </c>
      <c r="D39" s="189" t="s">
        <v>357</v>
      </c>
      <c r="E39" s="264">
        <v>196</v>
      </c>
      <c r="F39" s="264">
        <v>230</v>
      </c>
      <c r="G39" s="226">
        <v>241</v>
      </c>
      <c r="H39" s="226">
        <v>253</v>
      </c>
      <c r="I39" s="226">
        <v>265</v>
      </c>
    </row>
    <row r="40" spans="1:9" ht="25.5">
      <c r="A40" s="244">
        <v>33</v>
      </c>
      <c r="B40" s="199" t="s">
        <v>139</v>
      </c>
      <c r="C40" s="244">
        <v>7585</v>
      </c>
      <c r="D40" s="189" t="s">
        <v>358</v>
      </c>
      <c r="E40" s="264">
        <v>310</v>
      </c>
      <c r="F40" s="264">
        <v>378</v>
      </c>
      <c r="G40" s="226">
        <v>396</v>
      </c>
      <c r="H40" s="226">
        <v>415</v>
      </c>
      <c r="I40" s="226">
        <v>435</v>
      </c>
    </row>
    <row r="41" spans="1:9" ht="51">
      <c r="A41" s="244">
        <v>34</v>
      </c>
      <c r="B41" s="248" t="s">
        <v>142</v>
      </c>
      <c r="C41" s="244">
        <v>7587</v>
      </c>
      <c r="D41" s="189" t="s">
        <v>359</v>
      </c>
      <c r="E41" s="264">
        <v>242</v>
      </c>
      <c r="F41" s="264">
        <v>216</v>
      </c>
      <c r="G41" s="226">
        <v>195</v>
      </c>
      <c r="H41" s="226">
        <v>176</v>
      </c>
      <c r="I41" s="226">
        <v>168</v>
      </c>
    </row>
    <row r="42" spans="1:9" ht="25.5">
      <c r="A42" s="244">
        <v>35</v>
      </c>
      <c r="B42" s="248" t="s">
        <v>143</v>
      </c>
      <c r="C42" s="244">
        <v>7590</v>
      </c>
      <c r="D42" s="189" t="s">
        <v>360</v>
      </c>
      <c r="E42" s="264">
        <v>164</v>
      </c>
      <c r="F42" s="264">
        <v>185</v>
      </c>
      <c r="G42" s="226">
        <v>203</v>
      </c>
      <c r="H42" s="226">
        <v>223</v>
      </c>
      <c r="I42" s="226">
        <v>245</v>
      </c>
    </row>
    <row r="43" spans="1:9" ht="25.5">
      <c r="A43" s="244">
        <v>36</v>
      </c>
      <c r="B43" s="248" t="s">
        <v>144</v>
      </c>
      <c r="C43" s="244">
        <v>7595</v>
      </c>
      <c r="D43" s="189" t="s">
        <v>361</v>
      </c>
      <c r="E43" s="264">
        <v>159</v>
      </c>
      <c r="F43" s="226">
        <v>165</v>
      </c>
      <c r="G43" s="226">
        <v>167</v>
      </c>
      <c r="H43" s="226">
        <v>170</v>
      </c>
      <c r="I43" s="226">
        <v>172</v>
      </c>
    </row>
    <row r="44" spans="1:9" ht="51">
      <c r="A44" s="244">
        <v>37</v>
      </c>
      <c r="B44" s="245" t="s">
        <v>145</v>
      </c>
      <c r="C44" s="244">
        <v>7598</v>
      </c>
      <c r="D44" s="189" t="s">
        <v>362</v>
      </c>
      <c r="E44" s="266">
        <v>3116537</v>
      </c>
      <c r="F44" s="226">
        <f>F45+F51+F55+F58+F64+F65+F68+F71+F74+F77+F78+F79</f>
        <v>3233361</v>
      </c>
      <c r="G44" s="226">
        <f t="shared" ref="G44:I44" si="10">G45+G51+G55+G58+G64+G65+G68+G71+G74+G77+G78+G79</f>
        <v>3328968</v>
      </c>
      <c r="H44" s="226">
        <f t="shared" si="10"/>
        <v>3464439</v>
      </c>
      <c r="I44" s="226">
        <f t="shared" si="10"/>
        <v>3495507</v>
      </c>
    </row>
    <row r="45" spans="1:9" ht="25.5">
      <c r="A45" s="244">
        <v>38</v>
      </c>
      <c r="B45" s="248" t="s">
        <v>120</v>
      </c>
      <c r="C45" s="244">
        <v>7600</v>
      </c>
      <c r="D45" s="189" t="s">
        <v>363</v>
      </c>
      <c r="E45" s="264">
        <v>2449151</v>
      </c>
      <c r="F45" s="226">
        <f>F46+F47+F48+F49+F50</f>
        <v>2558683</v>
      </c>
      <c r="G45" s="226">
        <f t="shared" ref="G45:I45" si="11">G46+G47+G48+G49+G50</f>
        <v>2653352</v>
      </c>
      <c r="H45" s="226">
        <f t="shared" si="11"/>
        <v>2786018</v>
      </c>
      <c r="I45" s="226">
        <f t="shared" si="11"/>
        <v>2813875</v>
      </c>
    </row>
    <row r="46" spans="1:9" ht="25.5">
      <c r="A46" s="244">
        <v>39</v>
      </c>
      <c r="B46" s="199" t="s">
        <v>121</v>
      </c>
      <c r="C46" s="244">
        <v>7605</v>
      </c>
      <c r="D46" s="189" t="s">
        <v>364</v>
      </c>
      <c r="E46" s="264">
        <v>164881</v>
      </c>
      <c r="F46" s="264">
        <v>161389</v>
      </c>
      <c r="G46" s="226">
        <v>167360</v>
      </c>
      <c r="H46" s="226">
        <v>175728</v>
      </c>
      <c r="I46" s="226">
        <v>177485</v>
      </c>
    </row>
    <row r="47" spans="1:9" ht="38.25">
      <c r="A47" s="244">
        <v>40</v>
      </c>
      <c r="B47" s="199" t="s">
        <v>122</v>
      </c>
      <c r="C47" s="244">
        <v>7607</v>
      </c>
      <c r="D47" s="189" t="s">
        <v>365</v>
      </c>
      <c r="E47" s="264">
        <v>518173</v>
      </c>
      <c r="F47" s="264">
        <v>531179</v>
      </c>
      <c r="G47" s="226">
        <v>550832</v>
      </c>
      <c r="H47" s="226">
        <v>578373</v>
      </c>
      <c r="I47" s="226">
        <v>584156</v>
      </c>
    </row>
    <row r="48" spans="1:9" ht="38.25">
      <c r="A48" s="244">
        <v>41</v>
      </c>
      <c r="B48" s="199" t="s">
        <v>123</v>
      </c>
      <c r="C48" s="244">
        <v>7610</v>
      </c>
      <c r="D48" s="189" t="s">
        <v>366</v>
      </c>
      <c r="E48" s="264">
        <v>503130</v>
      </c>
      <c r="F48" s="264">
        <v>528321</v>
      </c>
      <c r="G48" s="226">
        <v>547868</v>
      </c>
      <c r="H48" s="226">
        <v>575261</v>
      </c>
      <c r="I48" s="226">
        <v>581013</v>
      </c>
    </row>
    <row r="49" spans="1:9" ht="38.25">
      <c r="A49" s="244">
        <v>42</v>
      </c>
      <c r="B49" s="199" t="s">
        <v>124</v>
      </c>
      <c r="C49" s="244">
        <v>7613</v>
      </c>
      <c r="D49" s="189" t="s">
        <v>367</v>
      </c>
      <c r="E49" s="264">
        <v>503010</v>
      </c>
      <c r="F49" s="264">
        <v>534137</v>
      </c>
      <c r="G49" s="226">
        <v>553900</v>
      </c>
      <c r="H49" s="226">
        <v>581595</v>
      </c>
      <c r="I49" s="226">
        <v>587410</v>
      </c>
    </row>
    <row r="50" spans="1:9" ht="25.5">
      <c r="A50" s="244">
        <v>43</v>
      </c>
      <c r="B50" s="199" t="s">
        <v>125</v>
      </c>
      <c r="C50" s="244">
        <v>7615</v>
      </c>
      <c r="D50" s="189" t="s">
        <v>368</v>
      </c>
      <c r="E50" s="264">
        <v>759957</v>
      </c>
      <c r="F50" s="264">
        <v>803657</v>
      </c>
      <c r="G50" s="226">
        <v>833392</v>
      </c>
      <c r="H50" s="226">
        <v>875061</v>
      </c>
      <c r="I50" s="226">
        <v>883811</v>
      </c>
    </row>
    <row r="51" spans="1:9" ht="25.5">
      <c r="A51" s="244">
        <v>44</v>
      </c>
      <c r="B51" s="248" t="s">
        <v>126</v>
      </c>
      <c r="C51" s="244">
        <v>7620</v>
      </c>
      <c r="D51" s="189" t="s">
        <v>369</v>
      </c>
      <c r="E51" s="264">
        <v>14656</v>
      </c>
      <c r="F51" s="226">
        <f>F52+F53+F54</f>
        <v>15390</v>
      </c>
      <c r="G51" s="226">
        <f t="shared" ref="G51:I51" si="12">G52+G53+G54</f>
        <v>15771</v>
      </c>
      <c r="H51" s="226">
        <f t="shared" si="12"/>
        <v>16373</v>
      </c>
      <c r="I51" s="226">
        <f t="shared" si="12"/>
        <v>16414</v>
      </c>
    </row>
    <row r="52" spans="1:9" ht="25.5">
      <c r="A52" s="244">
        <v>45</v>
      </c>
      <c r="B52" s="199" t="s">
        <v>127</v>
      </c>
      <c r="C52" s="244">
        <v>7625</v>
      </c>
      <c r="D52" s="189" t="s">
        <v>370</v>
      </c>
      <c r="E52" s="264">
        <v>400</v>
      </c>
      <c r="F52" s="264">
        <v>390</v>
      </c>
      <c r="G52" s="226">
        <v>351</v>
      </c>
      <c r="H52" s="226">
        <v>316</v>
      </c>
      <c r="I52" s="226">
        <v>285</v>
      </c>
    </row>
    <row r="53" spans="1:9" ht="38.25">
      <c r="A53" s="244">
        <v>46</v>
      </c>
      <c r="B53" s="199" t="s">
        <v>128</v>
      </c>
      <c r="C53" s="244">
        <v>7628</v>
      </c>
      <c r="D53" s="189" t="s">
        <v>371</v>
      </c>
      <c r="E53" s="264">
        <v>1026</v>
      </c>
      <c r="F53" s="264">
        <v>988</v>
      </c>
      <c r="G53" s="226">
        <v>890</v>
      </c>
      <c r="H53" s="226">
        <v>801</v>
      </c>
      <c r="I53" s="226">
        <v>721</v>
      </c>
    </row>
    <row r="54" spans="1:9" ht="25.5">
      <c r="A54" s="244">
        <v>47</v>
      </c>
      <c r="B54" s="199" t="s">
        <v>129</v>
      </c>
      <c r="C54" s="244">
        <v>7630</v>
      </c>
      <c r="D54" s="189" t="s">
        <v>372</v>
      </c>
      <c r="E54" s="264">
        <v>13230</v>
      </c>
      <c r="F54" s="264">
        <v>14012</v>
      </c>
      <c r="G54" s="226">
        <v>14530</v>
      </c>
      <c r="H54" s="226">
        <v>15256</v>
      </c>
      <c r="I54" s="226">
        <v>15408</v>
      </c>
    </row>
    <row r="55" spans="1:9" ht="25.5">
      <c r="A55" s="244">
        <v>48</v>
      </c>
      <c r="B55" s="248" t="s">
        <v>130</v>
      </c>
      <c r="C55" s="244">
        <v>7632</v>
      </c>
      <c r="D55" s="189" t="s">
        <v>373</v>
      </c>
      <c r="E55" s="264">
        <v>39427</v>
      </c>
      <c r="F55" s="226">
        <f>F56+F57</f>
        <v>39119</v>
      </c>
      <c r="G55" s="226">
        <f>G56+G57</f>
        <v>39269</v>
      </c>
      <c r="H55" s="226">
        <f t="shared" ref="H55:I55" si="13">H56+H57</f>
        <v>39428</v>
      </c>
      <c r="I55" s="226">
        <f t="shared" si="13"/>
        <v>39596</v>
      </c>
    </row>
    <row r="56" spans="1:9" ht="25.5">
      <c r="A56" s="244">
        <v>49</v>
      </c>
      <c r="B56" s="199" t="s">
        <v>131</v>
      </c>
      <c r="C56" s="244">
        <v>7635</v>
      </c>
      <c r="D56" s="189" t="s">
        <v>374</v>
      </c>
      <c r="E56" s="264">
        <v>21850</v>
      </c>
      <c r="F56" s="264">
        <v>21051</v>
      </c>
      <c r="G56" s="226">
        <v>20840</v>
      </c>
      <c r="H56" s="226">
        <v>20631</v>
      </c>
      <c r="I56" s="226">
        <v>20424</v>
      </c>
    </row>
    <row r="57" spans="1:9" ht="25.5">
      <c r="A57" s="244">
        <v>50</v>
      </c>
      <c r="B57" s="199" t="s">
        <v>132</v>
      </c>
      <c r="C57" s="244">
        <v>7638</v>
      </c>
      <c r="D57" s="189" t="s">
        <v>375</v>
      </c>
      <c r="E57" s="264">
        <v>17577</v>
      </c>
      <c r="F57" s="264">
        <v>18068</v>
      </c>
      <c r="G57" s="226">
        <v>18429</v>
      </c>
      <c r="H57" s="226">
        <v>18797</v>
      </c>
      <c r="I57" s="226">
        <v>19172</v>
      </c>
    </row>
    <row r="58" spans="1:9" ht="25.5">
      <c r="A58" s="244">
        <v>51</v>
      </c>
      <c r="B58" s="248" t="s">
        <v>133</v>
      </c>
      <c r="C58" s="244">
        <v>7640</v>
      </c>
      <c r="D58" s="189" t="s">
        <v>376</v>
      </c>
      <c r="E58" s="264">
        <v>534654</v>
      </c>
      <c r="F58" s="226">
        <f>F59+F60+F61+F62+F63</f>
        <v>539175</v>
      </c>
      <c r="G58" s="226">
        <f t="shared" ref="G58:I58" si="14">G59+G60+G61+G62+G63</f>
        <v>539444</v>
      </c>
      <c r="H58" s="226">
        <f t="shared" si="14"/>
        <v>540268</v>
      </c>
      <c r="I58" s="226">
        <f t="shared" si="14"/>
        <v>541485</v>
      </c>
    </row>
    <row r="59" spans="1:9" ht="25.5">
      <c r="A59" s="244">
        <v>52</v>
      </c>
      <c r="B59" s="199" t="s">
        <v>121</v>
      </c>
      <c r="C59" s="244">
        <v>7643</v>
      </c>
      <c r="D59" s="189" t="s">
        <v>377</v>
      </c>
      <c r="E59" s="264">
        <v>28700</v>
      </c>
      <c r="F59" s="264">
        <v>27369</v>
      </c>
      <c r="G59" s="226">
        <v>26137</v>
      </c>
      <c r="H59" s="226">
        <v>25223</v>
      </c>
      <c r="I59" s="226">
        <v>24466</v>
      </c>
    </row>
    <row r="60" spans="1:9" ht="38.25">
      <c r="A60" s="244">
        <v>53</v>
      </c>
      <c r="B60" s="199" t="s">
        <v>122</v>
      </c>
      <c r="C60" s="244">
        <v>7646</v>
      </c>
      <c r="D60" s="189" t="s">
        <v>378</v>
      </c>
      <c r="E60" s="264">
        <v>104970</v>
      </c>
      <c r="F60" s="264">
        <v>104745</v>
      </c>
      <c r="G60" s="226">
        <v>102650</v>
      </c>
      <c r="H60" s="226">
        <v>100597</v>
      </c>
      <c r="I60" s="226">
        <v>98585</v>
      </c>
    </row>
    <row r="61" spans="1:9" ht="38.25">
      <c r="A61" s="244">
        <v>54</v>
      </c>
      <c r="B61" s="199" t="s">
        <v>123</v>
      </c>
      <c r="C61" s="244">
        <v>7649</v>
      </c>
      <c r="D61" s="189" t="s">
        <v>379</v>
      </c>
      <c r="E61" s="264">
        <v>36115</v>
      </c>
      <c r="F61" s="264">
        <v>36609</v>
      </c>
      <c r="G61" s="226">
        <v>37011</v>
      </c>
      <c r="H61" s="226">
        <v>37418</v>
      </c>
      <c r="I61" s="226">
        <v>37829</v>
      </c>
    </row>
    <row r="62" spans="1:9" ht="38.25">
      <c r="A62" s="244">
        <v>55</v>
      </c>
      <c r="B62" s="199" t="s">
        <v>124</v>
      </c>
      <c r="C62" s="244">
        <v>7652</v>
      </c>
      <c r="D62" s="189" t="s">
        <v>380</v>
      </c>
      <c r="E62" s="264">
        <v>87071</v>
      </c>
      <c r="F62" s="264">
        <v>84281</v>
      </c>
      <c r="G62" s="226">
        <v>81752</v>
      </c>
      <c r="H62" s="226">
        <v>79299</v>
      </c>
      <c r="I62" s="226">
        <v>76920</v>
      </c>
    </row>
    <row r="63" spans="1:9" ht="25.5">
      <c r="A63" s="244">
        <v>56</v>
      </c>
      <c r="B63" s="199" t="s">
        <v>125</v>
      </c>
      <c r="C63" s="244">
        <v>7655</v>
      </c>
      <c r="D63" s="189" t="s">
        <v>381</v>
      </c>
      <c r="E63" s="264">
        <v>277798</v>
      </c>
      <c r="F63" s="264">
        <v>286171</v>
      </c>
      <c r="G63" s="226">
        <v>291894</v>
      </c>
      <c r="H63" s="226">
        <v>297731</v>
      </c>
      <c r="I63" s="226">
        <v>303685</v>
      </c>
    </row>
    <row r="64" spans="1:9" ht="63.75">
      <c r="A64" s="244">
        <v>57</v>
      </c>
      <c r="B64" s="248" t="s">
        <v>304</v>
      </c>
      <c r="C64" s="244">
        <v>7660</v>
      </c>
      <c r="D64" s="189" t="s">
        <v>382</v>
      </c>
      <c r="E64" s="264">
        <v>29302</v>
      </c>
      <c r="F64" s="264">
        <v>27780</v>
      </c>
      <c r="G64" s="226">
        <v>26391</v>
      </c>
      <c r="H64" s="226">
        <v>25071</v>
      </c>
      <c r="I64" s="226">
        <v>24318</v>
      </c>
    </row>
    <row r="65" spans="1:9" ht="25.5">
      <c r="A65" s="244">
        <v>58</v>
      </c>
      <c r="B65" s="248" t="s">
        <v>135</v>
      </c>
      <c r="C65" s="244">
        <v>7663</v>
      </c>
      <c r="D65" s="189" t="s">
        <v>383</v>
      </c>
      <c r="E65" s="264">
        <v>7104</v>
      </c>
      <c r="F65" s="226">
        <f>F66+F67</f>
        <v>7445</v>
      </c>
      <c r="G65" s="226">
        <f t="shared" ref="G65:I65" si="15">G66+G67</f>
        <v>7720</v>
      </c>
      <c r="H65" s="226">
        <f t="shared" si="15"/>
        <v>8105</v>
      </c>
      <c r="I65" s="226">
        <f t="shared" si="15"/>
        <v>8914</v>
      </c>
    </row>
    <row r="66" spans="1:9" ht="25.5">
      <c r="A66" s="244">
        <v>59</v>
      </c>
      <c r="B66" s="199" t="s">
        <v>136</v>
      </c>
      <c r="C66" s="244">
        <v>7665</v>
      </c>
      <c r="D66" s="189" t="s">
        <v>384</v>
      </c>
      <c r="E66" s="264">
        <v>1278</v>
      </c>
      <c r="F66" s="264">
        <v>1303</v>
      </c>
      <c r="G66" s="226">
        <v>1351</v>
      </c>
      <c r="H66" s="226">
        <v>1418</v>
      </c>
      <c r="I66" s="226">
        <v>1559</v>
      </c>
    </row>
    <row r="67" spans="1:9" ht="25.5">
      <c r="A67" s="244">
        <v>60</v>
      </c>
      <c r="B67" s="199" t="s">
        <v>137</v>
      </c>
      <c r="C67" s="244">
        <v>7668</v>
      </c>
      <c r="D67" s="189" t="s">
        <v>385</v>
      </c>
      <c r="E67" s="264">
        <v>5826</v>
      </c>
      <c r="F67" s="264">
        <v>6142</v>
      </c>
      <c r="G67" s="226">
        <v>6369</v>
      </c>
      <c r="H67" s="226">
        <v>6687</v>
      </c>
      <c r="I67" s="226">
        <v>7355</v>
      </c>
    </row>
    <row r="68" spans="1:9" ht="51">
      <c r="A68" s="244">
        <v>61</v>
      </c>
      <c r="B68" s="248" t="s">
        <v>138</v>
      </c>
      <c r="C68" s="244">
        <v>7670</v>
      </c>
      <c r="D68" s="189" t="s">
        <v>386</v>
      </c>
      <c r="E68" s="264">
        <v>24149</v>
      </c>
      <c r="F68" s="226">
        <f>F69+F70</f>
        <v>25537</v>
      </c>
      <c r="G68" s="226">
        <f>G69+G70</f>
        <v>26481</v>
      </c>
      <c r="H68" s="226">
        <f t="shared" ref="H68:I68" si="16">H69+H70</f>
        <v>27804</v>
      </c>
      <c r="I68" s="226">
        <f t="shared" si="16"/>
        <v>28081</v>
      </c>
    </row>
    <row r="69" spans="1:9" ht="25.5">
      <c r="A69" s="244">
        <v>62</v>
      </c>
      <c r="B69" s="199" t="s">
        <v>121</v>
      </c>
      <c r="C69" s="244">
        <v>7673</v>
      </c>
      <c r="D69" s="189" t="s">
        <v>387</v>
      </c>
      <c r="E69" s="264">
        <v>9065</v>
      </c>
      <c r="F69" s="264">
        <v>9557</v>
      </c>
      <c r="G69" s="226">
        <v>9910</v>
      </c>
      <c r="H69" s="226">
        <v>10405</v>
      </c>
      <c r="I69" s="226">
        <v>10509</v>
      </c>
    </row>
    <row r="70" spans="1:9" ht="25.5">
      <c r="A70" s="244">
        <v>63</v>
      </c>
      <c r="B70" s="199" t="s">
        <v>139</v>
      </c>
      <c r="C70" s="244">
        <v>7675</v>
      </c>
      <c r="D70" s="189" t="s">
        <v>388</v>
      </c>
      <c r="E70" s="264">
        <v>15084</v>
      </c>
      <c r="F70" s="264">
        <v>15980</v>
      </c>
      <c r="G70" s="226">
        <v>16571</v>
      </c>
      <c r="H70" s="226">
        <v>17399</v>
      </c>
      <c r="I70" s="226">
        <v>17572</v>
      </c>
    </row>
    <row r="71" spans="1:9" ht="38.25">
      <c r="A71" s="244">
        <v>64</v>
      </c>
      <c r="B71" s="248" t="s">
        <v>140</v>
      </c>
      <c r="C71" s="244">
        <v>7680</v>
      </c>
      <c r="D71" s="189" t="s">
        <v>389</v>
      </c>
      <c r="E71" s="264">
        <v>576</v>
      </c>
      <c r="F71" s="226">
        <f>F72+F73</f>
        <v>656</v>
      </c>
      <c r="G71" s="226">
        <f t="shared" ref="G71:I71" si="17">G72+G73</f>
        <v>680</v>
      </c>
      <c r="H71" s="226">
        <f t="shared" si="17"/>
        <v>713</v>
      </c>
      <c r="I71" s="226">
        <f t="shared" si="17"/>
        <v>783</v>
      </c>
    </row>
    <row r="72" spans="1:9" ht="25.5">
      <c r="A72" s="244">
        <v>65</v>
      </c>
      <c r="B72" s="199" t="s">
        <v>121</v>
      </c>
      <c r="C72" s="244">
        <v>7683</v>
      </c>
      <c r="D72" s="189" t="s">
        <v>390</v>
      </c>
      <c r="E72" s="264">
        <v>177</v>
      </c>
      <c r="F72" s="264">
        <v>219</v>
      </c>
      <c r="G72" s="226">
        <v>227</v>
      </c>
      <c r="H72" s="226">
        <v>238</v>
      </c>
      <c r="I72" s="226">
        <v>261</v>
      </c>
    </row>
    <row r="73" spans="1:9" ht="25.5">
      <c r="A73" s="244">
        <v>66</v>
      </c>
      <c r="B73" s="199" t="s">
        <v>139</v>
      </c>
      <c r="C73" s="244">
        <v>7685</v>
      </c>
      <c r="D73" s="189" t="s">
        <v>391</v>
      </c>
      <c r="E73" s="264">
        <v>399</v>
      </c>
      <c r="F73" s="264">
        <v>437</v>
      </c>
      <c r="G73" s="226">
        <v>453</v>
      </c>
      <c r="H73" s="226">
        <v>475</v>
      </c>
      <c r="I73" s="226">
        <v>522</v>
      </c>
    </row>
    <row r="74" spans="1:9" ht="25.5">
      <c r="A74" s="244">
        <v>67</v>
      </c>
      <c r="B74" s="248" t="s">
        <v>141</v>
      </c>
      <c r="C74" s="244">
        <v>7688</v>
      </c>
      <c r="D74" s="189" t="s">
        <v>392</v>
      </c>
      <c r="E74" s="264">
        <v>8685</v>
      </c>
      <c r="F74" s="226">
        <f>F75+F76</f>
        <v>10553</v>
      </c>
      <c r="G74" s="226">
        <f t="shared" ref="G74:I74" si="18">G75+G76</f>
        <v>10942</v>
      </c>
      <c r="H74" s="226">
        <f t="shared" si="18"/>
        <v>11488</v>
      </c>
      <c r="I74" s="226">
        <f t="shared" si="18"/>
        <v>12636</v>
      </c>
    </row>
    <row r="75" spans="1:9" ht="25.5">
      <c r="A75" s="244">
        <v>68</v>
      </c>
      <c r="B75" s="199" t="s">
        <v>121</v>
      </c>
      <c r="C75" s="244">
        <v>7690</v>
      </c>
      <c r="D75" s="189" t="s">
        <v>393</v>
      </c>
      <c r="E75" s="264">
        <v>1330</v>
      </c>
      <c r="F75" s="264">
        <v>1535</v>
      </c>
      <c r="G75" s="226">
        <v>1591</v>
      </c>
      <c r="H75" s="226">
        <v>1670</v>
      </c>
      <c r="I75" s="226">
        <v>1837</v>
      </c>
    </row>
    <row r="76" spans="1:9" ht="25.5">
      <c r="A76" s="244">
        <v>69</v>
      </c>
      <c r="B76" s="199" t="s">
        <v>139</v>
      </c>
      <c r="C76" s="244">
        <v>7692</v>
      </c>
      <c r="D76" s="189" t="s">
        <v>394</v>
      </c>
      <c r="E76" s="264">
        <v>7335</v>
      </c>
      <c r="F76" s="264">
        <v>9018</v>
      </c>
      <c r="G76" s="226">
        <v>9351</v>
      </c>
      <c r="H76" s="226">
        <v>9818</v>
      </c>
      <c r="I76" s="226">
        <v>10799</v>
      </c>
    </row>
    <row r="77" spans="1:9" ht="51">
      <c r="A77" s="244">
        <v>70</v>
      </c>
      <c r="B77" s="248" t="s">
        <v>142</v>
      </c>
      <c r="C77" s="244">
        <v>7695</v>
      </c>
      <c r="D77" s="189" t="s">
        <v>395</v>
      </c>
      <c r="E77" s="264">
        <v>4878</v>
      </c>
      <c r="F77" s="264">
        <v>5025</v>
      </c>
      <c r="G77" s="226">
        <v>4773</v>
      </c>
      <c r="H77" s="226">
        <v>4677</v>
      </c>
      <c r="I77" s="226">
        <v>4583</v>
      </c>
    </row>
    <row r="78" spans="1:9" ht="25.5">
      <c r="A78" s="244">
        <v>71</v>
      </c>
      <c r="B78" s="248" t="s">
        <v>143</v>
      </c>
      <c r="C78" s="244">
        <v>7698</v>
      </c>
      <c r="D78" s="189" t="s">
        <v>396</v>
      </c>
      <c r="E78" s="264">
        <v>2772</v>
      </c>
      <c r="F78" s="264">
        <v>2765</v>
      </c>
      <c r="G78" s="226">
        <v>2867</v>
      </c>
      <c r="H78" s="226">
        <v>3153</v>
      </c>
      <c r="I78" s="226">
        <v>3468</v>
      </c>
    </row>
    <row r="79" spans="1:9" ht="25.5">
      <c r="A79" s="244">
        <v>72</v>
      </c>
      <c r="B79" s="248" t="s">
        <v>144</v>
      </c>
      <c r="C79" s="244">
        <v>7700</v>
      </c>
      <c r="D79" s="189" t="s">
        <v>397</v>
      </c>
      <c r="E79" s="264">
        <v>1184</v>
      </c>
      <c r="F79" s="264">
        <v>1233</v>
      </c>
      <c r="G79" s="226">
        <v>1278</v>
      </c>
      <c r="H79" s="226">
        <v>1341</v>
      </c>
      <c r="I79" s="226">
        <v>1354</v>
      </c>
    </row>
    <row r="80" spans="1:9" ht="51">
      <c r="A80" s="244">
        <v>73</v>
      </c>
      <c r="B80" s="245" t="s">
        <v>146</v>
      </c>
      <c r="C80" s="244">
        <v>7710</v>
      </c>
      <c r="D80" s="189" t="s">
        <v>398</v>
      </c>
      <c r="E80" s="264">
        <v>3116537</v>
      </c>
      <c r="F80" s="226">
        <v>3233361</v>
      </c>
      <c r="G80" s="226">
        <v>3328968</v>
      </c>
      <c r="H80" s="226">
        <v>3464439</v>
      </c>
      <c r="I80" s="226">
        <v>3495507</v>
      </c>
    </row>
    <row r="81" spans="1:9" ht="25.5">
      <c r="A81" s="244">
        <v>74</v>
      </c>
      <c r="B81" s="245" t="s">
        <v>147</v>
      </c>
      <c r="C81" s="244">
        <v>7715</v>
      </c>
      <c r="D81" s="189" t="s">
        <v>399</v>
      </c>
      <c r="E81" s="190">
        <v>3054136</v>
      </c>
      <c r="F81" s="263">
        <v>3167139</v>
      </c>
      <c r="G81" s="263">
        <v>3325495</v>
      </c>
      <c r="H81" s="263">
        <v>3392004</v>
      </c>
      <c r="I81" s="263">
        <v>3459844</v>
      </c>
    </row>
    <row r="82" spans="1:9" ht="89.25">
      <c r="A82" s="244">
        <v>75</v>
      </c>
      <c r="B82" s="245" t="s">
        <v>149</v>
      </c>
      <c r="C82" s="244">
        <v>7720</v>
      </c>
      <c r="D82" s="189" t="s">
        <v>400</v>
      </c>
      <c r="E82" s="190">
        <v>1.0742</v>
      </c>
      <c r="F82" s="267">
        <v>0.98</v>
      </c>
      <c r="G82" s="267">
        <v>0.97</v>
      </c>
      <c r="H82" s="268">
        <v>0.97499999999999998</v>
      </c>
      <c r="I82" s="268">
        <v>0.97499999999999998</v>
      </c>
    </row>
    <row r="83" spans="1:9" ht="18">
      <c r="A83" s="269">
        <v>76</v>
      </c>
      <c r="B83" s="245" t="s">
        <v>202</v>
      </c>
      <c r="C83" s="244">
        <v>7725</v>
      </c>
      <c r="D83" s="257"/>
      <c r="E83" s="270"/>
      <c r="F83" s="263"/>
      <c r="G83" s="263"/>
      <c r="H83" s="263"/>
      <c r="I83" s="263"/>
    </row>
  </sheetData>
  <mergeCells count="7">
    <mergeCell ref="F5:F6"/>
    <mergeCell ref="G5:I5"/>
    <mergeCell ref="A5:A6"/>
    <mergeCell ref="B5:B6"/>
    <mergeCell ref="C5:C6"/>
    <mergeCell ref="D5:D6"/>
    <mergeCell ref="E5:E6"/>
  </mergeCells>
  <pageMargins left="0.15748031496062992" right="0.15748031496062992" top="0.59055118110236227" bottom="0.19685039370078741" header="0.51181102362204722" footer="0.51181102362204722"/>
  <pageSetup paperSize="8" scale="9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J14"/>
  <sheetViews>
    <sheetView view="pageBreakPreview" zoomScale="70" zoomScaleNormal="70" zoomScaleSheetLayoutView="70" workbookViewId="0">
      <selection activeCell="I2" sqref="I2"/>
    </sheetView>
  </sheetViews>
  <sheetFormatPr defaultColWidth="8.85546875" defaultRowHeight="15"/>
  <cols>
    <col min="1" max="1" width="6" style="75" customWidth="1"/>
    <col min="2" max="2" width="48.42578125" style="75" customWidth="1"/>
    <col min="3" max="3" width="17.28515625" style="75" customWidth="1"/>
    <col min="4" max="4" width="19.28515625" style="75" customWidth="1"/>
    <col min="5" max="5" width="20.7109375" style="75" customWidth="1"/>
    <col min="6" max="6" width="25.140625" style="75" customWidth="1"/>
    <col min="7" max="7" width="24.140625" style="75" customWidth="1"/>
    <col min="8" max="8" width="23.85546875" style="75" customWidth="1"/>
    <col min="9" max="9" width="24.5703125" style="75" customWidth="1"/>
    <col min="10" max="10" width="12.7109375" style="75" customWidth="1"/>
    <col min="11" max="11" width="15.85546875" style="75" bestFit="1" customWidth="1"/>
    <col min="12" max="16384" width="8.85546875" style="75"/>
  </cols>
  <sheetData>
    <row r="1" spans="1:10" ht="20.25" customHeight="1">
      <c r="I1" s="108" t="s">
        <v>212</v>
      </c>
      <c r="J1" s="109"/>
    </row>
    <row r="2" spans="1:10" s="74" customFormat="1" ht="30.75" customHeight="1">
      <c r="B2" s="95" t="s">
        <v>207</v>
      </c>
      <c r="C2" s="95"/>
      <c r="D2" s="95"/>
      <c r="E2" s="95"/>
      <c r="F2" s="95"/>
      <c r="G2" s="95"/>
      <c r="H2" s="95"/>
      <c r="I2" s="95"/>
    </row>
    <row r="3" spans="1:10" s="74" customFormat="1" ht="30.75" customHeight="1">
      <c r="B3" s="112" t="s">
        <v>45</v>
      </c>
      <c r="C3" s="96" t="s">
        <v>208</v>
      </c>
      <c r="D3" s="111"/>
      <c r="E3" s="107"/>
      <c r="F3" s="107"/>
      <c r="G3" s="107"/>
      <c r="H3" s="107"/>
      <c r="I3" s="107"/>
    </row>
    <row r="4" spans="1:10" ht="28.5" customHeight="1">
      <c r="B4" s="113"/>
      <c r="C4" s="111"/>
      <c r="D4" s="111"/>
      <c r="I4" s="75" t="s">
        <v>18</v>
      </c>
    </row>
    <row r="5" spans="1:10" ht="50.25" customHeight="1">
      <c r="A5" s="373" t="s">
        <v>53</v>
      </c>
      <c r="B5" s="374" t="s">
        <v>104</v>
      </c>
      <c r="C5" s="373" t="s">
        <v>233</v>
      </c>
      <c r="D5" s="375" t="s">
        <v>234</v>
      </c>
      <c r="E5" s="376" t="s">
        <v>203</v>
      </c>
      <c r="F5" s="382" t="s">
        <v>204</v>
      </c>
      <c r="G5" s="380" t="s">
        <v>88</v>
      </c>
      <c r="H5" s="381"/>
      <c r="I5" s="381"/>
    </row>
    <row r="6" spans="1:10" ht="66.75" customHeight="1">
      <c r="A6" s="373"/>
      <c r="B6" s="374"/>
      <c r="C6" s="373"/>
      <c r="D6" s="375"/>
      <c r="E6" s="376"/>
      <c r="F6" s="382"/>
      <c r="G6" s="287">
        <v>2026</v>
      </c>
      <c r="H6" s="287">
        <v>2027</v>
      </c>
      <c r="I6" s="287">
        <v>2028</v>
      </c>
    </row>
    <row r="7" spans="1:10" ht="75.75" customHeight="1">
      <c r="A7" s="227"/>
      <c r="B7" s="262" t="s">
        <v>113</v>
      </c>
      <c r="C7" s="229">
        <v>7950</v>
      </c>
      <c r="D7" s="229" t="s">
        <v>401</v>
      </c>
      <c r="E7" s="260">
        <f>E8*E9*E12*E13+E14</f>
        <v>2355158.0000000028</v>
      </c>
      <c r="F7" s="261">
        <f>F8*F9*F12*F13+F14</f>
        <v>2545205.6480837995</v>
      </c>
      <c r="G7" s="261">
        <f t="shared" ref="G7:I7" si="0">G8*G9*G12*G13+G14</f>
        <v>2570657.7084006001</v>
      </c>
      <c r="H7" s="261">
        <f t="shared" si="0"/>
        <v>2596364.2897140002</v>
      </c>
      <c r="I7" s="261">
        <f t="shared" si="0"/>
        <v>2622327.9296603999</v>
      </c>
    </row>
    <row r="8" spans="1:10" ht="229.5">
      <c r="A8" s="272">
        <v>1</v>
      </c>
      <c r="B8" s="273" t="s">
        <v>107</v>
      </c>
      <c r="C8" s="274">
        <v>7955</v>
      </c>
      <c r="D8" s="214" t="s">
        <v>402</v>
      </c>
      <c r="E8" s="275">
        <v>209017823</v>
      </c>
      <c r="F8" s="276">
        <v>258769561</v>
      </c>
      <c r="G8" s="276">
        <v>261357257</v>
      </c>
      <c r="H8" s="276">
        <v>263970830</v>
      </c>
      <c r="I8" s="276">
        <v>266610538</v>
      </c>
    </row>
    <row r="9" spans="1:10" ht="25.5">
      <c r="A9" s="277">
        <v>2</v>
      </c>
      <c r="B9" s="273" t="s">
        <v>105</v>
      </c>
      <c r="C9" s="274">
        <v>7960</v>
      </c>
      <c r="D9" s="214" t="s">
        <v>403</v>
      </c>
      <c r="E9" s="278">
        <f>E10/E8*100%</f>
        <v>1.0550971052836963E-2</v>
      </c>
      <c r="F9" s="278">
        <v>0.01</v>
      </c>
      <c r="G9" s="278">
        <v>0.01</v>
      </c>
      <c r="H9" s="278">
        <v>0.01</v>
      </c>
      <c r="I9" s="278">
        <v>0.01</v>
      </c>
    </row>
    <row r="10" spans="1:10" ht="229.5">
      <c r="A10" s="277">
        <v>3</v>
      </c>
      <c r="B10" s="273" t="s">
        <v>108</v>
      </c>
      <c r="C10" s="274">
        <v>7965</v>
      </c>
      <c r="D10" s="214" t="s">
        <v>404</v>
      </c>
      <c r="E10" s="279">
        <v>2205341</v>
      </c>
      <c r="F10" s="280">
        <v>2607617</v>
      </c>
      <c r="G10" s="276">
        <v>2633693</v>
      </c>
      <c r="H10" s="276">
        <v>2660030</v>
      </c>
      <c r="I10" s="276">
        <v>2686630</v>
      </c>
    </row>
    <row r="11" spans="1:10" ht="25.5">
      <c r="A11" s="281">
        <v>4</v>
      </c>
      <c r="B11" s="282" t="s">
        <v>109</v>
      </c>
      <c r="C11" s="274">
        <v>7970</v>
      </c>
      <c r="D11" s="214" t="s">
        <v>405</v>
      </c>
      <c r="E11" s="279">
        <v>2235958</v>
      </c>
      <c r="F11" s="276">
        <v>2258318</v>
      </c>
      <c r="G11" s="276">
        <v>2280901</v>
      </c>
      <c r="H11" s="276">
        <v>2303710</v>
      </c>
      <c r="I11" s="276">
        <v>2326747</v>
      </c>
    </row>
    <row r="12" spans="1:10" ht="25.5">
      <c r="A12" s="281">
        <v>5</v>
      </c>
      <c r="B12" s="282" t="s">
        <v>110</v>
      </c>
      <c r="C12" s="274">
        <v>7975</v>
      </c>
      <c r="D12" s="214" t="s">
        <v>406</v>
      </c>
      <c r="E12" s="205">
        <f>E11/E10*100%</f>
        <v>1.0138831137678934</v>
      </c>
      <c r="F12" s="205">
        <v>1.014</v>
      </c>
      <c r="G12" s="205">
        <v>1.014</v>
      </c>
      <c r="H12" s="205">
        <v>1.014</v>
      </c>
      <c r="I12" s="205">
        <v>1.014</v>
      </c>
    </row>
    <row r="13" spans="1:10" ht="76.5">
      <c r="A13" s="277">
        <v>6</v>
      </c>
      <c r="B13" s="273" t="s">
        <v>111</v>
      </c>
      <c r="C13" s="274">
        <v>7980</v>
      </c>
      <c r="D13" s="214" t="s">
        <v>407</v>
      </c>
      <c r="E13" s="205">
        <v>1.0533104825761499</v>
      </c>
      <c r="F13" s="283">
        <v>0.97</v>
      </c>
      <c r="G13" s="283">
        <v>0.97</v>
      </c>
      <c r="H13" s="283">
        <v>0.97</v>
      </c>
      <c r="I13" s="283">
        <v>0.97</v>
      </c>
    </row>
    <row r="14" spans="1:10" ht="18">
      <c r="A14" s="277">
        <v>7</v>
      </c>
      <c r="B14" s="273" t="s">
        <v>112</v>
      </c>
      <c r="C14" s="274">
        <v>7985</v>
      </c>
      <c r="D14" s="284"/>
      <c r="E14" s="285">
        <v>0</v>
      </c>
      <c r="F14" s="286">
        <v>0</v>
      </c>
      <c r="G14" s="286">
        <v>0</v>
      </c>
      <c r="H14" s="286">
        <v>0</v>
      </c>
      <c r="I14" s="286">
        <v>0</v>
      </c>
    </row>
  </sheetData>
  <sheetProtection selectLockedCells="1"/>
  <mergeCells count="7">
    <mergeCell ref="A5:A6"/>
    <mergeCell ref="G5:I5"/>
    <mergeCell ref="B5:B6"/>
    <mergeCell ref="C5:C6"/>
    <mergeCell ref="D5:D6"/>
    <mergeCell ref="E5:E6"/>
    <mergeCell ref="F5:F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1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J15"/>
  <sheetViews>
    <sheetView view="pageBreakPreview" zoomScale="70" zoomScaleNormal="70" zoomScaleSheetLayoutView="70" workbookViewId="0">
      <selection activeCell="I2" sqref="I2"/>
    </sheetView>
  </sheetViews>
  <sheetFormatPr defaultColWidth="8.85546875" defaultRowHeight="15"/>
  <cols>
    <col min="1" max="1" width="6" style="75" customWidth="1"/>
    <col min="2" max="2" width="51.85546875" style="75" customWidth="1"/>
    <col min="3" max="3" width="22.85546875" style="75" customWidth="1"/>
    <col min="4" max="4" width="19.28515625" style="75" customWidth="1"/>
    <col min="5" max="5" width="20.7109375" style="75" customWidth="1"/>
    <col min="6" max="6" width="25.140625" style="75" customWidth="1"/>
    <col min="7" max="7" width="24.140625" style="75" customWidth="1"/>
    <col min="8" max="8" width="23.85546875" style="75" customWidth="1"/>
    <col min="9" max="9" width="24.5703125" style="75" customWidth="1"/>
    <col min="10" max="10" width="12.7109375" style="75" customWidth="1"/>
    <col min="11" max="11" width="15.85546875" style="75" bestFit="1" customWidth="1"/>
    <col min="12" max="16384" width="8.85546875" style="75"/>
  </cols>
  <sheetData>
    <row r="1" spans="1:10" ht="20.25" customHeight="1">
      <c r="I1" s="108" t="s">
        <v>423</v>
      </c>
      <c r="J1" s="109"/>
    </row>
    <row r="2" spans="1:10" s="74" customFormat="1" ht="30.75" customHeight="1">
      <c r="B2" s="95" t="s">
        <v>206</v>
      </c>
      <c r="C2" s="95"/>
      <c r="D2" s="95"/>
      <c r="E2" s="95"/>
      <c r="F2" s="95"/>
      <c r="G2" s="95"/>
      <c r="H2" s="95"/>
      <c r="I2" s="95"/>
    </row>
    <row r="3" spans="1:10" s="74" customFormat="1" ht="30.75" customHeight="1">
      <c r="B3" s="112" t="s">
        <v>45</v>
      </c>
      <c r="C3" s="96" t="s">
        <v>96</v>
      </c>
      <c r="D3" s="111"/>
      <c r="E3" s="84"/>
      <c r="F3" s="84"/>
      <c r="G3" s="84"/>
      <c r="H3" s="84"/>
      <c r="I3" s="84"/>
    </row>
    <row r="4" spans="1:10" ht="28.5" customHeight="1">
      <c r="B4" s="113"/>
      <c r="C4" s="111"/>
      <c r="D4" s="111"/>
      <c r="I4" s="75" t="s">
        <v>18</v>
      </c>
    </row>
    <row r="5" spans="1:10" ht="50.25" customHeight="1">
      <c r="A5" s="373" t="s">
        <v>53</v>
      </c>
      <c r="B5" s="374" t="s">
        <v>104</v>
      </c>
      <c r="C5" s="373" t="s">
        <v>233</v>
      </c>
      <c r="D5" s="375" t="s">
        <v>234</v>
      </c>
      <c r="E5" s="376" t="s">
        <v>203</v>
      </c>
      <c r="F5" s="382" t="s">
        <v>204</v>
      </c>
      <c r="G5" s="380" t="s">
        <v>88</v>
      </c>
      <c r="H5" s="381"/>
      <c r="I5" s="381"/>
    </row>
    <row r="6" spans="1:10" ht="66.75" customHeight="1">
      <c r="A6" s="373"/>
      <c r="B6" s="374"/>
      <c r="C6" s="373"/>
      <c r="D6" s="375"/>
      <c r="E6" s="376"/>
      <c r="F6" s="382"/>
      <c r="G6" s="287">
        <v>2026</v>
      </c>
      <c r="H6" s="287">
        <v>2027</v>
      </c>
      <c r="I6" s="287">
        <v>2028</v>
      </c>
    </row>
    <row r="7" spans="1:10" ht="112.5" customHeight="1">
      <c r="A7" s="288"/>
      <c r="B7" s="290" t="s">
        <v>114</v>
      </c>
      <c r="C7" s="289">
        <v>7910</v>
      </c>
      <c r="D7" s="214" t="s">
        <v>235</v>
      </c>
      <c r="E7" s="230">
        <v>539248</v>
      </c>
      <c r="F7" s="231">
        <f t="shared" ref="F7:I7" si="0">F13+F14</f>
        <v>616696.9</v>
      </c>
      <c r="G7" s="231">
        <f t="shared" si="0"/>
        <v>647976</v>
      </c>
      <c r="H7" s="231">
        <f t="shared" si="0"/>
        <v>654455.76</v>
      </c>
      <c r="I7" s="231">
        <f t="shared" si="0"/>
        <v>667745.1</v>
      </c>
    </row>
    <row r="8" spans="1:10" ht="229.5">
      <c r="A8" s="198">
        <v>1</v>
      </c>
      <c r="B8" s="212" t="s">
        <v>205</v>
      </c>
      <c r="C8" s="213">
        <v>7915</v>
      </c>
      <c r="D8" s="214" t="s">
        <v>236</v>
      </c>
      <c r="E8" s="215">
        <v>151160137</v>
      </c>
      <c r="F8" s="216">
        <v>177409082</v>
      </c>
      <c r="G8" s="216">
        <v>179183172.81999999</v>
      </c>
      <c r="H8" s="216">
        <v>180975004.54819998</v>
      </c>
      <c r="I8" s="216">
        <v>182784754.59368199</v>
      </c>
    </row>
    <row r="9" spans="1:10" ht="25.5">
      <c r="A9" s="198">
        <v>2</v>
      </c>
      <c r="B9" s="217" t="s">
        <v>105</v>
      </c>
      <c r="C9" s="213">
        <v>7920</v>
      </c>
      <c r="D9" s="214" t="s">
        <v>237</v>
      </c>
      <c r="E9" s="218">
        <f>E10/E8*100%</f>
        <v>3.6625661433477004E-3</v>
      </c>
      <c r="F9" s="218">
        <f t="shared" ref="F9:I9" si="1">F10/F8*100%</f>
        <v>3.5836384069672374E-3</v>
      </c>
      <c r="G9" s="218">
        <f t="shared" si="1"/>
        <v>3.6900786474197227E-3</v>
      </c>
      <c r="H9" s="218">
        <f t="shared" si="1"/>
        <v>3.6900786474197231E-3</v>
      </c>
      <c r="I9" s="218">
        <f t="shared" si="1"/>
        <v>3.6900779909098281E-3</v>
      </c>
    </row>
    <row r="10" spans="1:10" ht="229.5">
      <c r="A10" s="198">
        <v>3</v>
      </c>
      <c r="B10" s="217" t="s">
        <v>106</v>
      </c>
      <c r="C10" s="213">
        <v>7930</v>
      </c>
      <c r="D10" s="214" t="s">
        <v>238</v>
      </c>
      <c r="E10" s="215">
        <v>553634</v>
      </c>
      <c r="F10" s="219">
        <v>635770</v>
      </c>
      <c r="G10" s="219">
        <v>661200</v>
      </c>
      <c r="H10" s="219">
        <v>667812</v>
      </c>
      <c r="I10" s="219">
        <v>674490</v>
      </c>
    </row>
    <row r="11" spans="1:10" ht="89.25">
      <c r="A11" s="198">
        <v>4</v>
      </c>
      <c r="B11" s="217" t="s">
        <v>239</v>
      </c>
      <c r="C11" s="213">
        <v>7935</v>
      </c>
      <c r="D11" s="214" t="s">
        <v>240</v>
      </c>
      <c r="E11" s="220">
        <v>1.0538568273759503</v>
      </c>
      <c r="F11" s="221">
        <v>0.97</v>
      </c>
      <c r="G11" s="221">
        <v>0.98</v>
      </c>
      <c r="H11" s="221">
        <v>0.98</v>
      </c>
      <c r="I11" s="221">
        <v>0.99</v>
      </c>
    </row>
    <row r="12" spans="1:10" ht="25.5">
      <c r="A12" s="198">
        <v>5</v>
      </c>
      <c r="B12" s="217" t="s">
        <v>241</v>
      </c>
      <c r="C12" s="213">
        <v>7940</v>
      </c>
      <c r="D12" s="214" t="s">
        <v>242</v>
      </c>
      <c r="E12" s="215">
        <f>E8*E9*E11</f>
        <v>583450.97076745692</v>
      </c>
      <c r="F12" s="215">
        <f t="shared" ref="F12:I12" si="2">F8*F9*F11</f>
        <v>616696.9</v>
      </c>
      <c r="G12" s="215">
        <f t="shared" si="2"/>
        <v>647976</v>
      </c>
      <c r="H12" s="215">
        <f t="shared" si="2"/>
        <v>654455.76</v>
      </c>
      <c r="I12" s="215">
        <f t="shared" si="2"/>
        <v>667745.1</v>
      </c>
    </row>
    <row r="13" spans="1:10" ht="27">
      <c r="A13" s="198">
        <v>6</v>
      </c>
      <c r="B13" s="217" t="s">
        <v>243</v>
      </c>
      <c r="C13" s="213">
        <v>7945</v>
      </c>
      <c r="D13" s="222"/>
      <c r="E13" s="215">
        <v>553634</v>
      </c>
      <c r="F13" s="219">
        <v>616696.9</v>
      </c>
      <c r="G13" s="219">
        <v>647976</v>
      </c>
      <c r="H13" s="219">
        <v>654455.76</v>
      </c>
      <c r="I13" s="219">
        <v>667745.1</v>
      </c>
    </row>
    <row r="14" spans="1:10" ht="18.75">
      <c r="A14" s="198">
        <v>7</v>
      </c>
      <c r="B14" s="223" t="s">
        <v>244</v>
      </c>
      <c r="C14" s="213">
        <v>7948</v>
      </c>
      <c r="D14" s="222"/>
      <c r="E14" s="224">
        <v>0</v>
      </c>
      <c r="F14" s="225">
        <v>0</v>
      </c>
      <c r="G14" s="225">
        <v>0</v>
      </c>
      <c r="H14" s="225">
        <v>0</v>
      </c>
      <c r="I14" s="225">
        <v>0</v>
      </c>
    </row>
    <row r="15" spans="1:10" ht="25.5">
      <c r="A15" s="291">
        <v>8</v>
      </c>
      <c r="B15" s="217" t="s">
        <v>245</v>
      </c>
      <c r="C15" s="213">
        <v>7949</v>
      </c>
      <c r="D15" s="214" t="s">
        <v>246</v>
      </c>
      <c r="E15" s="215">
        <v>539248</v>
      </c>
      <c r="F15" s="226"/>
      <c r="G15" s="226"/>
      <c r="H15" s="226"/>
      <c r="I15" s="226"/>
    </row>
  </sheetData>
  <sheetProtection selectLockedCells="1"/>
  <mergeCells count="7">
    <mergeCell ref="A5:A6"/>
    <mergeCell ref="G5:I5"/>
    <mergeCell ref="B5:B6"/>
    <mergeCell ref="C5:C6"/>
    <mergeCell ref="E5:E6"/>
    <mergeCell ref="F5:F6"/>
    <mergeCell ref="D5:D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I13"/>
  <sheetViews>
    <sheetView view="pageBreakPreview" zoomScale="70" zoomScaleNormal="85" zoomScaleSheetLayoutView="70" workbookViewId="0">
      <pane ySplit="4" topLeftCell="A5" activePane="bottomLeft" state="frozen"/>
      <selection pane="bottomLeft" activeCell="H2" sqref="H2"/>
    </sheetView>
  </sheetViews>
  <sheetFormatPr defaultColWidth="9.140625" defaultRowHeight="15"/>
  <cols>
    <col min="1" max="1" width="6.5703125" style="70" customWidth="1"/>
    <col min="2" max="2" width="49" style="70" customWidth="1"/>
    <col min="3" max="3" width="26.140625" style="77" customWidth="1"/>
    <col min="4" max="4" width="30.140625" style="70" customWidth="1"/>
    <col min="5" max="5" width="26.5703125" style="70" customWidth="1"/>
    <col min="6" max="6" width="24.85546875" style="70" customWidth="1"/>
    <col min="7" max="7" width="26.140625" style="70" customWidth="1"/>
    <col min="8" max="8" width="24" style="70" customWidth="1"/>
    <col min="9" max="9" width="22.85546875" style="70" customWidth="1"/>
    <col min="10" max="10" width="18.140625" style="70" customWidth="1"/>
    <col min="11" max="11" width="13.85546875" style="70" customWidth="1"/>
    <col min="12" max="12" width="9.140625" style="70"/>
    <col min="13" max="13" width="18.42578125" style="70" customWidth="1"/>
    <col min="14" max="16384" width="9.140625" style="70"/>
  </cols>
  <sheetData>
    <row r="1" spans="1:9" ht="25.5" customHeight="1">
      <c r="A1" s="379" t="s">
        <v>98</v>
      </c>
      <c r="B1" s="379"/>
      <c r="C1" s="379"/>
      <c r="D1" s="379"/>
      <c r="E1" s="379"/>
      <c r="F1" s="87"/>
      <c r="H1" s="98" t="s">
        <v>424</v>
      </c>
      <c r="I1" s="98"/>
    </row>
    <row r="2" spans="1:9" ht="25.5">
      <c r="A2" s="71"/>
      <c r="B2" s="71"/>
      <c r="C2" s="106"/>
      <c r="D2" s="71"/>
      <c r="E2" s="71"/>
    </row>
    <row r="3" spans="1:9" ht="31.5" customHeight="1">
      <c r="A3" s="71"/>
      <c r="B3" s="97" t="s">
        <v>45</v>
      </c>
      <c r="C3" s="383" t="s">
        <v>97</v>
      </c>
      <c r="D3" s="384"/>
      <c r="E3" s="85"/>
      <c r="F3" s="85"/>
      <c r="H3" s="70" t="s">
        <v>63</v>
      </c>
    </row>
    <row r="4" spans="1:9" ht="41.25" customHeight="1">
      <c r="A4" s="373" t="s">
        <v>53</v>
      </c>
      <c r="B4" s="374" t="s">
        <v>104</v>
      </c>
      <c r="C4" s="373" t="s">
        <v>233</v>
      </c>
      <c r="D4" s="375" t="s">
        <v>234</v>
      </c>
      <c r="E4" s="380" t="s">
        <v>203</v>
      </c>
      <c r="F4" s="385" t="s">
        <v>204</v>
      </c>
      <c r="G4" s="382" t="s">
        <v>88</v>
      </c>
      <c r="H4" s="387"/>
      <c r="I4" s="387"/>
    </row>
    <row r="5" spans="1:9" ht="41.25" customHeight="1">
      <c r="A5" s="373"/>
      <c r="B5" s="374"/>
      <c r="C5" s="373"/>
      <c r="D5" s="375"/>
      <c r="E5" s="380"/>
      <c r="F5" s="386"/>
      <c r="G5" s="287">
        <v>2026</v>
      </c>
      <c r="H5" s="287">
        <v>2027</v>
      </c>
      <c r="I5" s="287">
        <v>2028</v>
      </c>
    </row>
    <row r="6" spans="1:9" ht="63.75">
      <c r="A6" s="227"/>
      <c r="B6" s="290" t="s">
        <v>10</v>
      </c>
      <c r="C6" s="229">
        <v>7100</v>
      </c>
      <c r="D6" s="229" t="s">
        <v>408</v>
      </c>
      <c r="E6" s="260">
        <v>1526828</v>
      </c>
      <c r="F6" s="231">
        <f>F9*F12+F13</f>
        <v>2413117.4399999999</v>
      </c>
      <c r="G6" s="231">
        <f t="shared" ref="G6:I6" si="0">G9*G12+G13</f>
        <v>2573136.46</v>
      </c>
      <c r="H6" s="231">
        <f t="shared" si="0"/>
        <v>2721507.66</v>
      </c>
      <c r="I6" s="231">
        <f t="shared" si="0"/>
        <v>2914456.3</v>
      </c>
    </row>
    <row r="7" spans="1:9" ht="127.5">
      <c r="A7" s="186">
        <v>2</v>
      </c>
      <c r="B7" s="187" t="s">
        <v>115</v>
      </c>
      <c r="C7" s="188">
        <v>7110</v>
      </c>
      <c r="D7" s="189" t="s">
        <v>409</v>
      </c>
      <c r="E7" s="192">
        <v>1313936343</v>
      </c>
      <c r="F7" s="292">
        <v>2645460056</v>
      </c>
      <c r="G7" s="292">
        <v>2671914656.5599999</v>
      </c>
      <c r="H7" s="292">
        <v>2698633803.1255999</v>
      </c>
      <c r="I7" s="193">
        <v>2725620141.1568561</v>
      </c>
    </row>
    <row r="8" spans="1:9" ht="38.25">
      <c r="A8" s="186">
        <v>3</v>
      </c>
      <c r="B8" s="187" t="s">
        <v>410</v>
      </c>
      <c r="C8" s="188">
        <v>7115</v>
      </c>
      <c r="D8" s="189" t="s">
        <v>411</v>
      </c>
      <c r="E8" s="194">
        <f>E9/E7*100%</f>
        <v>1.2630581449713351E-3</v>
      </c>
      <c r="F8" s="194">
        <f t="shared" ref="F8:I8" si="1">F9/F7*100%</f>
        <v>9.5018028879283894E-4</v>
      </c>
      <c r="G8" s="194">
        <f t="shared" si="1"/>
        <v>9.9281539306921018E-4</v>
      </c>
      <c r="H8" s="194">
        <f t="shared" si="1"/>
        <v>1.0396660698277847E-3</v>
      </c>
      <c r="I8" s="194">
        <f t="shared" si="1"/>
        <v>1.0911039858759444E-3</v>
      </c>
    </row>
    <row r="9" spans="1:9" ht="114.75">
      <c r="A9" s="186">
        <v>4</v>
      </c>
      <c r="B9" s="187" t="s">
        <v>412</v>
      </c>
      <c r="C9" s="188">
        <v>7120</v>
      </c>
      <c r="D9" s="189" t="s">
        <v>413</v>
      </c>
      <c r="E9" s="192">
        <v>1659578</v>
      </c>
      <c r="F9" s="292">
        <v>2513664</v>
      </c>
      <c r="G9" s="292">
        <v>2652718</v>
      </c>
      <c r="H9" s="292">
        <v>2805678</v>
      </c>
      <c r="I9" s="292">
        <v>2973935</v>
      </c>
    </row>
    <row r="10" spans="1:9" ht="38.25">
      <c r="A10" s="186">
        <v>9</v>
      </c>
      <c r="B10" s="187" t="s">
        <v>116</v>
      </c>
      <c r="C10" s="188">
        <v>7145</v>
      </c>
      <c r="D10" s="189" t="s">
        <v>414</v>
      </c>
      <c r="E10" s="192">
        <v>1526828</v>
      </c>
      <c r="F10" s="293" t="s">
        <v>61</v>
      </c>
      <c r="G10" s="293" t="s">
        <v>61</v>
      </c>
      <c r="H10" s="293" t="s">
        <v>61</v>
      </c>
      <c r="I10" s="293" t="s">
        <v>61</v>
      </c>
    </row>
    <row r="11" spans="1:9" ht="38.25">
      <c r="A11" s="186">
        <v>10</v>
      </c>
      <c r="B11" s="187" t="s">
        <v>117</v>
      </c>
      <c r="C11" s="188">
        <v>7150</v>
      </c>
      <c r="D11" s="189" t="s">
        <v>414</v>
      </c>
      <c r="E11" s="192">
        <v>1502590</v>
      </c>
      <c r="F11" s="293" t="s">
        <v>61</v>
      </c>
      <c r="G11" s="293" t="s">
        <v>61</v>
      </c>
      <c r="H11" s="293" t="s">
        <v>61</v>
      </c>
      <c r="I11" s="293" t="s">
        <v>61</v>
      </c>
    </row>
    <row r="12" spans="1:9" ht="63.75">
      <c r="A12" s="186">
        <v>11</v>
      </c>
      <c r="B12" s="187" t="s">
        <v>415</v>
      </c>
      <c r="C12" s="188">
        <v>7155</v>
      </c>
      <c r="D12" s="189" t="s">
        <v>416</v>
      </c>
      <c r="E12" s="194">
        <v>1.0161308141276064</v>
      </c>
      <c r="F12" s="294">
        <v>0.96</v>
      </c>
      <c r="G12" s="294">
        <v>0.97</v>
      </c>
      <c r="H12" s="294">
        <v>0.97</v>
      </c>
      <c r="I12" s="295">
        <v>0.98</v>
      </c>
    </row>
    <row r="13" spans="1:9" ht="18">
      <c r="A13" s="186">
        <v>12</v>
      </c>
      <c r="B13" s="187" t="s">
        <v>232</v>
      </c>
      <c r="C13" s="188">
        <v>7160</v>
      </c>
      <c r="D13" s="200"/>
      <c r="E13" s="191">
        <v>0</v>
      </c>
      <c r="F13" s="191">
        <v>0</v>
      </c>
      <c r="G13" s="191">
        <v>0</v>
      </c>
      <c r="H13" s="191">
        <v>0</v>
      </c>
      <c r="I13" s="191">
        <v>0</v>
      </c>
    </row>
  </sheetData>
  <mergeCells count="9">
    <mergeCell ref="A1:E1"/>
    <mergeCell ref="C3:D3"/>
    <mergeCell ref="F4:F5"/>
    <mergeCell ref="G4:I4"/>
    <mergeCell ref="A4:A5"/>
    <mergeCell ref="B4:B5"/>
    <mergeCell ref="C4:C5"/>
    <mergeCell ref="D4:D5"/>
    <mergeCell ref="E4:E5"/>
  </mergeCells>
  <pageMargins left="0" right="0" top="0" bottom="0" header="0" footer="0"/>
  <pageSetup paperSize="9" scale="62" fitToHeight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1:V26"/>
  <sheetViews>
    <sheetView topLeftCell="C1" zoomScale="80" zoomScaleNormal="80" workbookViewId="0">
      <selection activeCell="T2" sqref="T2"/>
    </sheetView>
  </sheetViews>
  <sheetFormatPr defaultColWidth="9.140625" defaultRowHeight="12.75"/>
  <cols>
    <col min="1" max="1" width="5.28515625" style="105" customWidth="1"/>
    <col min="2" max="2" width="36.7109375" style="105" customWidth="1"/>
    <col min="3" max="3" width="8.140625" style="105" customWidth="1"/>
    <col min="4" max="21" width="15.28515625" style="105" customWidth="1"/>
    <col min="22" max="16384" width="9.140625" style="105"/>
  </cols>
  <sheetData>
    <row r="1" spans="1:22" ht="38.25" customHeight="1">
      <c r="A1" s="114"/>
      <c r="B1" s="395" t="s">
        <v>52</v>
      </c>
      <c r="C1" s="395"/>
      <c r="D1" s="395"/>
      <c r="E1" s="395"/>
      <c r="F1" s="395"/>
      <c r="G1" s="115"/>
      <c r="H1" s="115"/>
      <c r="I1" s="115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411" t="s">
        <v>55</v>
      </c>
      <c r="U1" s="411"/>
    </row>
    <row r="2" spans="1:22" ht="40.5" customHeight="1" thickBot="1">
      <c r="A2" s="114"/>
      <c r="B2" s="115" t="s">
        <v>210</v>
      </c>
      <c r="C2" s="114"/>
      <c r="D2" s="114"/>
      <c r="E2" s="114"/>
      <c r="F2" s="114"/>
      <c r="G2" s="114"/>
      <c r="H2" s="114"/>
      <c r="I2" s="114"/>
      <c r="J2" s="114"/>
      <c r="K2" s="114"/>
      <c r="L2" s="117"/>
      <c r="M2" s="117"/>
      <c r="N2" s="117"/>
      <c r="O2" s="117"/>
      <c r="P2" s="117"/>
      <c r="Q2" s="117"/>
      <c r="R2" s="117"/>
      <c r="S2" s="117"/>
      <c r="T2" s="117"/>
      <c r="U2" s="117"/>
    </row>
    <row r="3" spans="1:22" ht="32.25" customHeight="1" thickBot="1">
      <c r="A3" s="396" t="s">
        <v>169</v>
      </c>
      <c r="B3" s="398" t="s">
        <v>170</v>
      </c>
      <c r="C3" s="400" t="s">
        <v>171</v>
      </c>
      <c r="D3" s="402" t="str">
        <f>CONCATENATE(p_report_year-2," год (факт)
на основе данных формы № 5-ИБ")</f>
        <v>2023 год (факт)
на основе данных формы № 5-ИБ</v>
      </c>
      <c r="E3" s="403"/>
      <c r="F3" s="404"/>
      <c r="G3" s="405" t="str">
        <f>CONCATENATE(p_report_year-1," год (факт)
на основе данных формы № 5-ИБ")</f>
        <v>2024 год (факт)
на основе данных формы № 5-ИБ</v>
      </c>
      <c r="H3" s="406"/>
      <c r="I3" s="407"/>
      <c r="J3" s="388" t="str">
        <f>CONCATENATE(p_report_year," год (оценка/уточнённая оценка)")</f>
        <v>2025 год (оценка/уточнённая оценка)</v>
      </c>
      <c r="K3" s="389"/>
      <c r="L3" s="390"/>
      <c r="M3" s="408" t="str">
        <f>CONCATENATE(p_report_year+1," год (прогноз)")</f>
        <v>2026 год (прогноз)</v>
      </c>
      <c r="N3" s="409"/>
      <c r="O3" s="410"/>
      <c r="P3" s="388" t="str">
        <f>CONCATENATE(p_report_year+2," год (прогноз)")</f>
        <v>2027 год (прогноз)</v>
      </c>
      <c r="Q3" s="389"/>
      <c r="R3" s="390"/>
      <c r="S3" s="391" t="str">
        <f>CONCATENATE(p_report_year+3," год (прогноз)")</f>
        <v>2028 год (прогноз)</v>
      </c>
      <c r="T3" s="392"/>
      <c r="U3" s="393"/>
      <c r="V3" s="118"/>
    </row>
    <row r="4" spans="1:22" ht="100.5" thickBot="1">
      <c r="A4" s="397"/>
      <c r="B4" s="399"/>
      <c r="C4" s="401"/>
      <c r="D4" s="119" t="s">
        <v>209</v>
      </c>
      <c r="E4" s="120" t="s">
        <v>172</v>
      </c>
      <c r="F4" s="121" t="s">
        <v>173</v>
      </c>
      <c r="G4" s="122" t="s">
        <v>209</v>
      </c>
      <c r="H4" s="122" t="s">
        <v>172</v>
      </c>
      <c r="I4" s="121" t="s">
        <v>173</v>
      </c>
      <c r="J4" s="296" t="s">
        <v>174</v>
      </c>
      <c r="K4" s="297" t="s">
        <v>172</v>
      </c>
      <c r="L4" s="298" t="s">
        <v>175</v>
      </c>
      <c r="M4" s="298" t="s">
        <v>174</v>
      </c>
      <c r="N4" s="298" t="s">
        <v>172</v>
      </c>
      <c r="O4" s="298" t="s">
        <v>175</v>
      </c>
      <c r="P4" s="296" t="s">
        <v>174</v>
      </c>
      <c r="Q4" s="299" t="s">
        <v>172</v>
      </c>
      <c r="R4" s="300" t="s">
        <v>175</v>
      </c>
      <c r="S4" s="296" t="s">
        <v>174</v>
      </c>
      <c r="T4" s="301" t="s">
        <v>172</v>
      </c>
      <c r="U4" s="299" t="s">
        <v>175</v>
      </c>
      <c r="V4" s="118"/>
    </row>
    <row r="5" spans="1:22" ht="13.5" thickBot="1">
      <c r="A5" s="123" t="s">
        <v>84</v>
      </c>
      <c r="B5" s="124" t="s">
        <v>85</v>
      </c>
      <c r="C5" s="125" t="s">
        <v>86</v>
      </c>
      <c r="D5" s="126">
        <v>1</v>
      </c>
      <c r="E5" s="127">
        <v>2</v>
      </c>
      <c r="F5" s="127">
        <v>3</v>
      </c>
      <c r="G5" s="128">
        <v>4</v>
      </c>
      <c r="H5" s="127">
        <v>5</v>
      </c>
      <c r="I5" s="127">
        <v>6</v>
      </c>
      <c r="J5" s="302">
        <v>7</v>
      </c>
      <c r="K5" s="303">
        <v>8</v>
      </c>
      <c r="L5" s="303">
        <v>9</v>
      </c>
      <c r="M5" s="304">
        <v>10</v>
      </c>
      <c r="N5" s="302">
        <v>11</v>
      </c>
      <c r="O5" s="303">
        <v>12</v>
      </c>
      <c r="P5" s="303">
        <v>13</v>
      </c>
      <c r="Q5" s="302">
        <v>14</v>
      </c>
      <c r="R5" s="305">
        <v>15</v>
      </c>
      <c r="S5" s="303">
        <v>16</v>
      </c>
      <c r="T5" s="306">
        <v>17</v>
      </c>
      <c r="U5" s="305">
        <v>18</v>
      </c>
      <c r="V5" s="118"/>
    </row>
    <row r="6" spans="1:22" ht="14.25">
      <c r="A6" s="129" t="s">
        <v>176</v>
      </c>
      <c r="B6" s="130" t="s">
        <v>177</v>
      </c>
      <c r="C6" s="131">
        <v>8010</v>
      </c>
      <c r="D6" s="132"/>
      <c r="E6" s="133">
        <f>IFERROR((CS_8010_3/CS_8010_1)/12*1000,0)</f>
        <v>0</v>
      </c>
      <c r="F6" s="134"/>
      <c r="G6" s="135"/>
      <c r="H6" s="136">
        <f>IFERROR((CS_8010_6/CS_8010_4)/12*1000,0)</f>
        <v>0</v>
      </c>
      <c r="I6" s="137"/>
      <c r="J6" s="307"/>
      <c r="K6" s="308">
        <f>IFERROR((лоп/CS_8010_7)/12*1000,0)</f>
        <v>0</v>
      </c>
      <c r="L6" s="309"/>
      <c r="M6" s="307"/>
      <c r="N6" s="308">
        <f>IFERROR((CS_8010_12/CS_8010_10)/12*1000,0)</f>
        <v>0</v>
      </c>
      <c r="O6" s="310"/>
      <c r="P6" s="307"/>
      <c r="Q6" s="311">
        <f>IFERROR((CS_8010_15/CS_8010_13)/12*1000,0)</f>
        <v>0</v>
      </c>
      <c r="R6" s="310"/>
      <c r="S6" s="307"/>
      <c r="T6" s="312">
        <f>IFERROR((CS_8010_18/CS_8010_16)/12*1000,0)</f>
        <v>0</v>
      </c>
      <c r="U6" s="310"/>
    </row>
    <row r="7" spans="1:22" ht="14.25">
      <c r="A7" s="138"/>
      <c r="B7" s="139" t="s">
        <v>87</v>
      </c>
      <c r="C7" s="140">
        <v>8011</v>
      </c>
      <c r="D7" s="141"/>
      <c r="E7" s="142" t="s">
        <v>61</v>
      </c>
      <c r="F7" s="143"/>
      <c r="G7" s="144">
        <f>IFERROR((CS_8010_4/CS_8010_1)*100,0)</f>
        <v>0</v>
      </c>
      <c r="H7" s="142" t="s">
        <v>61</v>
      </c>
      <c r="I7" s="145">
        <f>IFERROR((CS_8010_6/CS_8010_3)*100,0)</f>
        <v>0</v>
      </c>
      <c r="J7" s="313">
        <f>IFERROR((CS_8010_7/CS_8010_4)*100,0)</f>
        <v>0</v>
      </c>
      <c r="K7" s="314" t="s">
        <v>61</v>
      </c>
      <c r="L7" s="315">
        <f>IFERROR((лоп/CS_8010_6)*100,0)</f>
        <v>0</v>
      </c>
      <c r="M7" s="313">
        <f>IFERROR((CS_8010_10/CS_8010_7)*100,0)</f>
        <v>0</v>
      </c>
      <c r="N7" s="314" t="s">
        <v>61</v>
      </c>
      <c r="O7" s="315">
        <f>IFERROR((CS_8010_12/лоп)*100,0)</f>
        <v>0</v>
      </c>
      <c r="P7" s="313">
        <f>IFERROR((CS_8010_13/CS_8010_10)*100,0)</f>
        <v>0</v>
      </c>
      <c r="Q7" s="314" t="s">
        <v>61</v>
      </c>
      <c r="R7" s="315">
        <f>IFERROR((CS_8010_15/CS_8010_12)*100,0)</f>
        <v>0</v>
      </c>
      <c r="S7" s="313">
        <f>IFERROR((CS_8010_16/CS_8010_13)*100,0)</f>
        <v>0</v>
      </c>
      <c r="T7" s="316" t="s">
        <v>61</v>
      </c>
      <c r="U7" s="315">
        <f>IFERROR((CS_8010_18/CS_8010_15)*100,0)</f>
        <v>0</v>
      </c>
    </row>
    <row r="8" spans="1:22" ht="14.25">
      <c r="A8" s="146" t="s">
        <v>178</v>
      </c>
      <c r="B8" s="147" t="s">
        <v>179</v>
      </c>
      <c r="C8" s="140">
        <v>8020</v>
      </c>
      <c r="D8" s="148"/>
      <c r="E8" s="149">
        <f>IFERROR((CS_8020_3/CS_8020_1)/12*1000,0)</f>
        <v>0</v>
      </c>
      <c r="F8" s="150"/>
      <c r="G8" s="151"/>
      <c r="H8" s="149">
        <f>IFERROR((CS_8020_6/CS_8020_4)/12*1000,0)</f>
        <v>0</v>
      </c>
      <c r="I8" s="152"/>
      <c r="J8" s="317"/>
      <c r="K8" s="318">
        <f>IFERROR((CS_8020_9/CS_8020_7)/12*1000,0)</f>
        <v>0</v>
      </c>
      <c r="L8" s="319"/>
      <c r="M8" s="317"/>
      <c r="N8" s="318">
        <f>IFERROR((CS_8020_12/CS_8020_10)/12*1000,0)</f>
        <v>0</v>
      </c>
      <c r="O8" s="319"/>
      <c r="P8" s="317"/>
      <c r="Q8" s="318">
        <f>IFERROR((CS_8020_15/CS_8020_13)/12*1000,0)</f>
        <v>0</v>
      </c>
      <c r="R8" s="319"/>
      <c r="S8" s="317"/>
      <c r="T8" s="320">
        <f>IFERROR((CS_8020_18/CS_8020_16)/12*1000,0)</f>
        <v>0</v>
      </c>
      <c r="U8" s="319"/>
    </row>
    <row r="9" spans="1:22" ht="14.25">
      <c r="A9" s="146"/>
      <c r="B9" s="139" t="s">
        <v>87</v>
      </c>
      <c r="C9" s="140">
        <v>8021</v>
      </c>
      <c r="D9" s="141"/>
      <c r="E9" s="142" t="s">
        <v>61</v>
      </c>
      <c r="F9" s="143"/>
      <c r="G9" s="144">
        <f>IFERROR((CS_8020_4/CS_8020_1)*100,0)</f>
        <v>0</v>
      </c>
      <c r="H9" s="142" t="s">
        <v>61</v>
      </c>
      <c r="I9" s="145">
        <f>IFERROR((CS_8020_6/CS_8020_3)*100,0)</f>
        <v>0</v>
      </c>
      <c r="J9" s="313">
        <f>IFERROR((CS_8020_7/CS_8020_4)*100,0)</f>
        <v>0</v>
      </c>
      <c r="K9" s="314" t="s">
        <v>61</v>
      </c>
      <c r="L9" s="315">
        <f>IFERROR((CS_8020_9/CS_8020_6)*100,0)</f>
        <v>0</v>
      </c>
      <c r="M9" s="313">
        <f>IFERROR((CS_8020_10/CS_8020_7)*100,0)</f>
        <v>0</v>
      </c>
      <c r="N9" s="314" t="s">
        <v>61</v>
      </c>
      <c r="O9" s="315">
        <f>IFERROR((CS_8020_12/CS_8020_9)*100,0)</f>
        <v>0</v>
      </c>
      <c r="P9" s="313">
        <f>IFERROR((CS_8020_13/CS_8020_10)*100,0)</f>
        <v>0</v>
      </c>
      <c r="Q9" s="314" t="s">
        <v>61</v>
      </c>
      <c r="R9" s="315">
        <f>IFERROR((CS_8020_15/CS_8020_12)*100,0)</f>
        <v>0</v>
      </c>
      <c r="S9" s="313">
        <f>IFERROR((CS_8020_16/CS_8020_13)*100,0)</f>
        <v>0</v>
      </c>
      <c r="T9" s="316" t="s">
        <v>61</v>
      </c>
      <c r="U9" s="315">
        <f>IFERROR((CS_8020_18/CS_8020_15)*100,0)</f>
        <v>0</v>
      </c>
      <c r="V9" s="118"/>
    </row>
    <row r="10" spans="1:22" ht="28.5">
      <c r="A10" s="146" t="s">
        <v>180</v>
      </c>
      <c r="B10" s="147" t="s">
        <v>181</v>
      </c>
      <c r="C10" s="140">
        <v>8030</v>
      </c>
      <c r="D10" s="148"/>
      <c r="E10" s="149">
        <f>IFERROR((CS_8030_3/CS_8030_1)/12*1000,0)</f>
        <v>0</v>
      </c>
      <c r="F10" s="150"/>
      <c r="G10" s="151"/>
      <c r="H10" s="149">
        <f>IFERROR((CS_8030_6/CS_8030_4)/12*1000,0)</f>
        <v>0</v>
      </c>
      <c r="I10" s="152"/>
      <c r="J10" s="321"/>
      <c r="K10" s="322">
        <f>IFERROR((CS_8030_9/CS_8030_7)/12*1000,0)</f>
        <v>0</v>
      </c>
      <c r="L10" s="323"/>
      <c r="M10" s="321"/>
      <c r="N10" s="322">
        <f>IFERROR((CS_8030_12/CS_8030_10)/12*1000,0)</f>
        <v>0</v>
      </c>
      <c r="O10" s="323"/>
      <c r="P10" s="321"/>
      <c r="Q10" s="322">
        <f>IFERROR((CS_8030_15/CS_8030_13)/12*1000,0)</f>
        <v>0</v>
      </c>
      <c r="R10" s="323"/>
      <c r="S10" s="321"/>
      <c r="T10" s="324">
        <f>IFERROR((CS_8030_18/CS_8030_16)/12*1000,0)</f>
        <v>0</v>
      </c>
      <c r="U10" s="323"/>
      <c r="V10" s="118"/>
    </row>
    <row r="11" spans="1:22" ht="14.25">
      <c r="A11" s="146"/>
      <c r="B11" s="139" t="s">
        <v>87</v>
      </c>
      <c r="C11" s="140">
        <v>8031</v>
      </c>
      <c r="D11" s="141"/>
      <c r="E11" s="142" t="s">
        <v>61</v>
      </c>
      <c r="F11" s="143"/>
      <c r="G11" s="144">
        <f>IFERROR((CS_8030_4/CS_8030_1)*100,0)</f>
        <v>0</v>
      </c>
      <c r="H11" s="142" t="s">
        <v>61</v>
      </c>
      <c r="I11" s="145">
        <f>IFERROR((CS_8030_6/CS_8030_3)*100,0)</f>
        <v>0</v>
      </c>
      <c r="J11" s="313">
        <f>IFERROR((CS_8030_7/CS_8030_4)*100,0)</f>
        <v>0</v>
      </c>
      <c r="K11" s="314" t="s">
        <v>61</v>
      </c>
      <c r="L11" s="315">
        <f>IFERROR((CS_8030_9/CS_8030_6)*100,0)</f>
        <v>0</v>
      </c>
      <c r="M11" s="313">
        <f>IFERROR((CS_8030_10/CS_8030_7)*100,0)</f>
        <v>0</v>
      </c>
      <c r="N11" s="314" t="s">
        <v>61</v>
      </c>
      <c r="O11" s="315">
        <f>IFERROR((CS_8030_12/CS_8030_9)*100,0)</f>
        <v>0</v>
      </c>
      <c r="P11" s="313">
        <f>IFERROR((CS_8030_13/CS_8030_10)*100,0)</f>
        <v>0</v>
      </c>
      <c r="Q11" s="314" t="s">
        <v>61</v>
      </c>
      <c r="R11" s="315">
        <f>IFERROR((CS_8030_15/CS_8030_12)*100,0)</f>
        <v>0</v>
      </c>
      <c r="S11" s="313">
        <f>IFERROR((CS_8030_16/CS_8030_13)*100,0)</f>
        <v>0</v>
      </c>
      <c r="T11" s="316" t="s">
        <v>61</v>
      </c>
      <c r="U11" s="315">
        <f>IFERROR((CS_8030_18/CS_8030_15)*100,0)</f>
        <v>0</v>
      </c>
    </row>
    <row r="12" spans="1:22" ht="28.5">
      <c r="A12" s="146" t="s">
        <v>182</v>
      </c>
      <c r="B12" s="147" t="s">
        <v>183</v>
      </c>
      <c r="C12" s="140">
        <v>8040</v>
      </c>
      <c r="D12" s="148"/>
      <c r="E12" s="149">
        <f>IFERROR((CS_8040_3/CS_8040_1)/12*1000,0)</f>
        <v>0</v>
      </c>
      <c r="F12" s="150"/>
      <c r="G12" s="151"/>
      <c r="H12" s="149">
        <f>IFERROR((CS_8040_6/CS_8040_4)/12*1000,0)</f>
        <v>0</v>
      </c>
      <c r="I12" s="152"/>
      <c r="J12" s="317"/>
      <c r="K12" s="318">
        <f>IFERROR((CS_8040_9/CS_8040_7)/12*1000,0)</f>
        <v>0</v>
      </c>
      <c r="L12" s="319"/>
      <c r="M12" s="317"/>
      <c r="N12" s="318">
        <f>IFERROR((CS_8040_12/CS_8040_10)/12*1000,0)</f>
        <v>0</v>
      </c>
      <c r="O12" s="319"/>
      <c r="P12" s="317"/>
      <c r="Q12" s="318">
        <f>IFERROR((CS_8040_15/CS_8040_13)/12*1000,0)</f>
        <v>0</v>
      </c>
      <c r="R12" s="319"/>
      <c r="S12" s="317"/>
      <c r="T12" s="320">
        <f>IFERROR((CS_8040_18/CS_8040_16)/12*1000,0)</f>
        <v>0</v>
      </c>
      <c r="U12" s="319"/>
      <c r="V12" s="118"/>
    </row>
    <row r="13" spans="1:22" ht="14.25">
      <c r="A13" s="146"/>
      <c r="B13" s="139" t="s">
        <v>87</v>
      </c>
      <c r="C13" s="140">
        <v>8041</v>
      </c>
      <c r="D13" s="141"/>
      <c r="E13" s="142" t="s">
        <v>61</v>
      </c>
      <c r="F13" s="143"/>
      <c r="G13" s="144">
        <f>IFERROR((CS_8040_4/CS_8040_1)*100,0)</f>
        <v>0</v>
      </c>
      <c r="H13" s="142" t="s">
        <v>61</v>
      </c>
      <c r="I13" s="145">
        <f>IFERROR((CS_8040_6/CS_8040_3)*100,0)</f>
        <v>0</v>
      </c>
      <c r="J13" s="313">
        <f>IFERROR((CS_8040_7/CS_8040_4)*100,0)</f>
        <v>0</v>
      </c>
      <c r="K13" s="314" t="s">
        <v>61</v>
      </c>
      <c r="L13" s="315">
        <f>IFERROR((CS_8040_9/CS_8040_6)*100,0)</f>
        <v>0</v>
      </c>
      <c r="M13" s="313">
        <f>IFERROR((CS_8040_10/CS_8040_7)*100,0)</f>
        <v>0</v>
      </c>
      <c r="N13" s="314" t="s">
        <v>61</v>
      </c>
      <c r="O13" s="315">
        <f>IFERROR((CS_8040_12/CS_8040_9)*100,0)</f>
        <v>0</v>
      </c>
      <c r="P13" s="313">
        <f>IFERROR((CS_8040_13/CS_8040_10)*100,0)</f>
        <v>0</v>
      </c>
      <c r="Q13" s="314" t="s">
        <v>61</v>
      </c>
      <c r="R13" s="315">
        <f>IFERROR((CS_8040_15/CS_8040_12)*100,0)</f>
        <v>0</v>
      </c>
      <c r="S13" s="313">
        <f>IFERROR((CS_8040_16/CS_8040_13)*100,0)</f>
        <v>0</v>
      </c>
      <c r="T13" s="316" t="s">
        <v>61</v>
      </c>
      <c r="U13" s="315">
        <f>IFERROR((CS_8040_18/CS_8040_15)*100,0)</f>
        <v>0</v>
      </c>
      <c r="V13" s="118"/>
    </row>
    <row r="14" spans="1:22" ht="42.75">
      <c r="A14" s="146" t="s">
        <v>184</v>
      </c>
      <c r="B14" s="147" t="s">
        <v>185</v>
      </c>
      <c r="C14" s="140">
        <v>8050</v>
      </c>
      <c r="D14" s="148"/>
      <c r="E14" s="149">
        <f>IFERROR((CS_8050_3/CS_8050_1)/12*1000,0)</f>
        <v>0</v>
      </c>
      <c r="F14" s="150"/>
      <c r="G14" s="151"/>
      <c r="H14" s="149">
        <f>IFERROR((CS_8050_6/CS_8050_4)/12*1000,0)</f>
        <v>0</v>
      </c>
      <c r="I14" s="152"/>
      <c r="J14" s="317"/>
      <c r="K14" s="318">
        <f>IFERROR((CS_8050_9/CS_8050_7)/12*1000,0)</f>
        <v>0</v>
      </c>
      <c r="L14" s="319"/>
      <c r="M14" s="317"/>
      <c r="N14" s="318">
        <f>IFERROR((CS_8050_12/CS_8050_10)/12*1000,0)</f>
        <v>0</v>
      </c>
      <c r="O14" s="319"/>
      <c r="P14" s="317"/>
      <c r="Q14" s="318">
        <f>IFERROR((CS_8050_15/CS_8050_13)/12*1000,0)</f>
        <v>0</v>
      </c>
      <c r="R14" s="319"/>
      <c r="S14" s="317"/>
      <c r="T14" s="320">
        <f>IFERROR((CS_8050_18/CS_8050_16)/12*1000,0)</f>
        <v>0</v>
      </c>
      <c r="U14" s="319"/>
      <c r="V14" s="118"/>
    </row>
    <row r="15" spans="1:22" ht="14.25">
      <c r="A15" s="146"/>
      <c r="B15" s="139" t="s">
        <v>87</v>
      </c>
      <c r="C15" s="140">
        <v>8051</v>
      </c>
      <c r="D15" s="141"/>
      <c r="E15" s="142" t="s">
        <v>61</v>
      </c>
      <c r="F15" s="143"/>
      <c r="G15" s="144">
        <f>IFERROR((CS_8050_4/CS_8050_1)*100,0)</f>
        <v>0</v>
      </c>
      <c r="H15" s="142" t="s">
        <v>61</v>
      </c>
      <c r="I15" s="145">
        <f>IFERROR((CS_8050_6/CS_8050_3)*100,0)</f>
        <v>0</v>
      </c>
      <c r="J15" s="313">
        <f>IFERROR((CS_8050_7/CS_8050_4)*100,0)</f>
        <v>0</v>
      </c>
      <c r="K15" s="314" t="s">
        <v>61</v>
      </c>
      <c r="L15" s="315">
        <f>IFERROR((CS_8050_9/CS_8050_6)*100,0)</f>
        <v>0</v>
      </c>
      <c r="M15" s="313">
        <f>IFERROR((CS_8050_10/CS_8050_7)*100,0)</f>
        <v>0</v>
      </c>
      <c r="N15" s="314" t="s">
        <v>61</v>
      </c>
      <c r="O15" s="315">
        <f>IFERROR((CS_8050_12/CS_8050_9)*100,0)</f>
        <v>0</v>
      </c>
      <c r="P15" s="313">
        <f>IFERROR((CS_8050_13/CS_8050_10)*100,0)</f>
        <v>0</v>
      </c>
      <c r="Q15" s="314" t="s">
        <v>61</v>
      </c>
      <c r="R15" s="315">
        <f>IFERROR((CS_8050_15/CS_8050_12)*100,0)</f>
        <v>0</v>
      </c>
      <c r="S15" s="313">
        <f>IFERROR((CS_8050_16/CS_8050_13)*100,0)</f>
        <v>0</v>
      </c>
      <c r="T15" s="316" t="s">
        <v>61</v>
      </c>
      <c r="U15" s="315">
        <f>IFERROR((CS_8050_18/CS_8050_15)*100,0)</f>
        <v>0</v>
      </c>
      <c r="V15" s="118"/>
    </row>
    <row r="16" spans="1:22" ht="42.75">
      <c r="A16" s="146" t="s">
        <v>186</v>
      </c>
      <c r="B16" s="147" t="s">
        <v>187</v>
      </c>
      <c r="C16" s="140">
        <v>8060</v>
      </c>
      <c r="D16" s="148"/>
      <c r="E16" s="149">
        <f>IFERROR((CS_8060_3/CS_8060_1)/12*1000,0)</f>
        <v>0</v>
      </c>
      <c r="F16" s="150"/>
      <c r="G16" s="151"/>
      <c r="H16" s="149">
        <f>IFERROR((CS_8060_6/CS_8060_4)/12*1000,0)</f>
        <v>0</v>
      </c>
      <c r="I16" s="152"/>
      <c r="J16" s="317"/>
      <c r="K16" s="318">
        <f>IFERROR((CS_8060_9/CS_8060_7)/12*1000,0)</f>
        <v>0</v>
      </c>
      <c r="L16" s="319"/>
      <c r="M16" s="317"/>
      <c r="N16" s="318">
        <f>IFERROR((CS_8060_12/CS_8060_10)/12*1000,0)</f>
        <v>0</v>
      </c>
      <c r="O16" s="319"/>
      <c r="P16" s="317"/>
      <c r="Q16" s="318">
        <f>IFERROR((CS_8060_15/CS_8060_13)/12*1000,0)</f>
        <v>0</v>
      </c>
      <c r="R16" s="319"/>
      <c r="S16" s="317"/>
      <c r="T16" s="320">
        <f>IFERROR((CS_8060_18/CS_8060_16)/12*1000,0)</f>
        <v>0</v>
      </c>
      <c r="U16" s="319"/>
      <c r="V16" s="118"/>
    </row>
    <row r="17" spans="1:22" ht="14.25">
      <c r="A17" s="146"/>
      <c r="B17" s="139" t="s">
        <v>87</v>
      </c>
      <c r="C17" s="140">
        <v>8061</v>
      </c>
      <c r="D17" s="141"/>
      <c r="E17" s="142" t="s">
        <v>61</v>
      </c>
      <c r="F17" s="143"/>
      <c r="G17" s="144">
        <f>IFERROR((CS_8060_4/CS_8060_1)*100,0)</f>
        <v>0</v>
      </c>
      <c r="H17" s="142" t="s">
        <v>61</v>
      </c>
      <c r="I17" s="145">
        <f>IFERROR((CS_8060_6/CS_8060_3)*100,0)</f>
        <v>0</v>
      </c>
      <c r="J17" s="313">
        <f>IFERROR((CS_8060_7/CS_8060_4)*100,0)</f>
        <v>0</v>
      </c>
      <c r="K17" s="314" t="s">
        <v>61</v>
      </c>
      <c r="L17" s="315">
        <f>IFERROR((CS_8060_9/CS_8060_6)*100,0)</f>
        <v>0</v>
      </c>
      <c r="M17" s="313">
        <f>IFERROR((CS_8060_10/CS_8060_7)*100,0)</f>
        <v>0</v>
      </c>
      <c r="N17" s="314" t="s">
        <v>61</v>
      </c>
      <c r="O17" s="315">
        <f>IFERROR((CS_8060_12/CS_8060_9)*100,0)</f>
        <v>0</v>
      </c>
      <c r="P17" s="313">
        <f>IFERROR((CS_8060_13/CS_8060_10)*100,0)</f>
        <v>0</v>
      </c>
      <c r="Q17" s="314" t="s">
        <v>61</v>
      </c>
      <c r="R17" s="315">
        <f>IFERROR((CS_8060_15/CS_8060_12)*100,0)</f>
        <v>0</v>
      </c>
      <c r="S17" s="313">
        <f>IFERROR((CS_8060_16/CS_8060_13)*100,0)</f>
        <v>0</v>
      </c>
      <c r="T17" s="316" t="s">
        <v>61</v>
      </c>
      <c r="U17" s="315">
        <f>IFERROR((CS_8060_18/CS_8060_15)*100,0)</f>
        <v>0</v>
      </c>
      <c r="V17" s="118"/>
    </row>
    <row r="18" spans="1:22" ht="28.5">
      <c r="A18" s="146" t="s">
        <v>188</v>
      </c>
      <c r="B18" s="147" t="s">
        <v>189</v>
      </c>
      <c r="C18" s="140">
        <v>8070</v>
      </c>
      <c r="D18" s="148"/>
      <c r="E18" s="149">
        <f>IFERROR((CS_8070_3/CS_8070_1)/12*1000,0)</f>
        <v>0</v>
      </c>
      <c r="F18" s="150">
        <v>70</v>
      </c>
      <c r="G18" s="151"/>
      <c r="H18" s="149">
        <f>IFERROR((CS_8070_6/CS_8070_4)/12*1000,0)</f>
        <v>0</v>
      </c>
      <c r="I18" s="152">
        <v>0</v>
      </c>
      <c r="J18" s="317"/>
      <c r="K18" s="318">
        <f>IFERROR((CS_8070_9/CS_8070_7)/12*1000,0)</f>
        <v>0</v>
      </c>
      <c r="L18" s="319"/>
      <c r="M18" s="317"/>
      <c r="N18" s="318">
        <f>IFERROR((CS_8070_12/CS_8070_10)/12*1000,0)</f>
        <v>0</v>
      </c>
      <c r="O18" s="319"/>
      <c r="P18" s="317"/>
      <c r="Q18" s="318">
        <f>IFERROR((CS_8070_15/CS_8070_13)/12*1000,0)</f>
        <v>0</v>
      </c>
      <c r="R18" s="319"/>
      <c r="S18" s="317"/>
      <c r="T18" s="320">
        <f>IFERROR((CS_8070_18/CS_8070_16)/12*1000,0)</f>
        <v>0</v>
      </c>
      <c r="U18" s="319"/>
      <c r="V18" s="118"/>
    </row>
    <row r="19" spans="1:22" ht="14.25">
      <c r="A19" s="146"/>
      <c r="B19" s="139" t="s">
        <v>87</v>
      </c>
      <c r="C19" s="140">
        <v>8071</v>
      </c>
      <c r="D19" s="141"/>
      <c r="E19" s="142" t="s">
        <v>61</v>
      </c>
      <c r="F19" s="143">
        <v>100</v>
      </c>
      <c r="G19" s="144">
        <f>IFERROR((CS_8070_4/CS_8070_1)*100,0)</f>
        <v>0</v>
      </c>
      <c r="H19" s="142" t="s">
        <v>61</v>
      </c>
      <c r="I19" s="145">
        <f>IFERROR((CS_8070_6/CS_8070_3)*100,0)</f>
        <v>0</v>
      </c>
      <c r="J19" s="313">
        <f>IFERROR((CS_8070_7/CS_8070_4)*100,0)</f>
        <v>0</v>
      </c>
      <c r="K19" s="314" t="s">
        <v>61</v>
      </c>
      <c r="L19" s="315">
        <f>IFERROR((CS_8070_9/CS_8070_6)*100,0)</f>
        <v>0</v>
      </c>
      <c r="M19" s="313">
        <f>IFERROR((CS_8070_10/CS_8070_7)*100,0)</f>
        <v>0</v>
      </c>
      <c r="N19" s="314" t="s">
        <v>61</v>
      </c>
      <c r="O19" s="315">
        <f>IFERROR((CS_8070_12/CS_8070_9)*100,0)</f>
        <v>0</v>
      </c>
      <c r="P19" s="313">
        <f>IFERROR((CS_8070_13/CS_8070_10)*100,0)</f>
        <v>0</v>
      </c>
      <c r="Q19" s="314" t="s">
        <v>61</v>
      </c>
      <c r="R19" s="315">
        <f>IFERROR((CS_8070_15/CS_8070_12)*100,0)</f>
        <v>0</v>
      </c>
      <c r="S19" s="313">
        <f>IFERROR((CS_8070_16/CS_8070_13)*100,0)</f>
        <v>0</v>
      </c>
      <c r="T19" s="316" t="s">
        <v>61</v>
      </c>
      <c r="U19" s="315">
        <f>IFERROR((CS_8070_18/CS_8070_15)*100,0)</f>
        <v>0</v>
      </c>
      <c r="V19" s="118"/>
    </row>
    <row r="20" spans="1:22" ht="28.5">
      <c r="A20" s="146" t="s">
        <v>190</v>
      </c>
      <c r="B20" s="147" t="s">
        <v>191</v>
      </c>
      <c r="C20" s="140">
        <v>8080</v>
      </c>
      <c r="D20" s="148">
        <v>19</v>
      </c>
      <c r="E20" s="149">
        <f>IFERROR((CS_8080_3/CS_8080_1)/12*1000,0)</f>
        <v>13263.157894736842</v>
      </c>
      <c r="F20" s="150">
        <v>3024</v>
      </c>
      <c r="G20" s="151">
        <v>20</v>
      </c>
      <c r="H20" s="149">
        <f>IFERROR((CS_8080_6/CS_8080_4)/12*1000,0)</f>
        <v>12950.000000000002</v>
      </c>
      <c r="I20" s="152">
        <v>3108</v>
      </c>
      <c r="J20" s="325">
        <v>18</v>
      </c>
      <c r="K20" s="326">
        <v>14000</v>
      </c>
      <c r="L20" s="327">
        <f>K20*J20*12/1000</f>
        <v>3024</v>
      </c>
      <c r="M20" s="325">
        <v>18</v>
      </c>
      <c r="N20" s="326">
        <v>14000</v>
      </c>
      <c r="O20" s="327">
        <f>N20*M20*12/1000</f>
        <v>3024</v>
      </c>
      <c r="P20" s="325">
        <v>18</v>
      </c>
      <c r="Q20" s="326">
        <v>14000</v>
      </c>
      <c r="R20" s="327">
        <f>Q20*P20*12/1000</f>
        <v>3024</v>
      </c>
      <c r="S20" s="325">
        <v>18</v>
      </c>
      <c r="T20" s="326">
        <v>14000</v>
      </c>
      <c r="U20" s="327">
        <f>T20*S20*12/1000</f>
        <v>3024</v>
      </c>
      <c r="V20" s="118"/>
    </row>
    <row r="21" spans="1:22" ht="18.75" thickBot="1">
      <c r="A21" s="153"/>
      <c r="B21" s="154" t="s">
        <v>87</v>
      </c>
      <c r="C21" s="155">
        <v>8081</v>
      </c>
      <c r="D21" s="156">
        <v>106</v>
      </c>
      <c r="E21" s="157" t="s">
        <v>61</v>
      </c>
      <c r="F21" s="158">
        <v>72</v>
      </c>
      <c r="G21" s="144">
        <f>IFERROR((CS_8080_4/CS_8080_1)*100,0)</f>
        <v>105.26315789473684</v>
      </c>
      <c r="H21" s="157" t="s">
        <v>61</v>
      </c>
      <c r="I21" s="145">
        <f>IFERROR((CS_8080_6/CS_8080_3)*100,0)</f>
        <v>102.77777777777777</v>
      </c>
      <c r="J21" s="328">
        <f>IFERROR((CS_8080_7/CS_8080_4)*100,0)</f>
        <v>90</v>
      </c>
      <c r="K21" s="329" t="s">
        <v>61</v>
      </c>
      <c r="L21" s="330">
        <f>IFERROR((CS_8080_9/CS_8080_6)*100,0)</f>
        <v>97.297297297297305</v>
      </c>
      <c r="M21" s="328">
        <f>IFERROR((CS_8080_10/CS_8080_7)*100,0)</f>
        <v>100</v>
      </c>
      <c r="N21" s="329" t="s">
        <v>61</v>
      </c>
      <c r="O21" s="330">
        <f>IFERROR((CS_8080_12/CS_8080_9)*100,0)</f>
        <v>100</v>
      </c>
      <c r="P21" s="328">
        <f>IFERROR((CS_8080_13/CS_8080_10)*100,0)</f>
        <v>100</v>
      </c>
      <c r="Q21" s="329" t="s">
        <v>61</v>
      </c>
      <c r="R21" s="330">
        <f>IFERROR((CS_8080_15/CS_8080_12)*100,0)</f>
        <v>100</v>
      </c>
      <c r="S21" s="328">
        <f>IFERROR((CS_8080_16/CS_8080_13)*100,0)</f>
        <v>100</v>
      </c>
      <c r="T21" s="331" t="s">
        <v>61</v>
      </c>
      <c r="U21" s="330">
        <f>IFERROR((CS_8080_18/CS_8080_15)*100,0)</f>
        <v>100</v>
      </c>
      <c r="V21" s="118"/>
    </row>
    <row r="22" spans="1:22" ht="60">
      <c r="A22" s="159" t="s">
        <v>192</v>
      </c>
      <c r="B22" s="160" t="s">
        <v>193</v>
      </c>
      <c r="C22" s="131">
        <v>8100</v>
      </c>
      <c r="D22" s="161" t="s">
        <v>61</v>
      </c>
      <c r="E22" s="162" t="s">
        <v>61</v>
      </c>
      <c r="F22" s="163">
        <f>F6+F8+F10+F12+F14+F16+F18+F20</f>
        <v>3094</v>
      </c>
      <c r="G22" s="161" t="s">
        <v>61</v>
      </c>
      <c r="H22" s="162" t="s">
        <v>61</v>
      </c>
      <c r="I22" s="164">
        <f>I6+I8+I10+I12+I14+I16+I18+I20</f>
        <v>3108</v>
      </c>
      <c r="J22" s="332" t="s">
        <v>61</v>
      </c>
      <c r="K22" s="333" t="s">
        <v>61</v>
      </c>
      <c r="L22" s="343">
        <f>L6+L8+L10+L12+L14+L16+L18+L20</f>
        <v>3024</v>
      </c>
      <c r="M22" s="344" t="s">
        <v>61</v>
      </c>
      <c r="N22" s="345" t="s">
        <v>61</v>
      </c>
      <c r="O22" s="343">
        <f>O6+O8+O10+O12+O14+O16+O18+O20</f>
        <v>3024</v>
      </c>
      <c r="P22" s="344" t="s">
        <v>61</v>
      </c>
      <c r="Q22" s="345" t="s">
        <v>61</v>
      </c>
      <c r="R22" s="343">
        <f>R6+R8+R10+R12+R14+R16+R18+R20</f>
        <v>3024</v>
      </c>
      <c r="S22" s="344" t="s">
        <v>61</v>
      </c>
      <c r="T22" s="346" t="s">
        <v>61</v>
      </c>
      <c r="U22" s="343">
        <f>U6+U8+U10+U12+U14+U16+U18+U20</f>
        <v>3024</v>
      </c>
      <c r="V22" s="118"/>
    </row>
    <row r="23" spans="1:22" ht="18">
      <c r="A23" s="146" t="s">
        <v>194</v>
      </c>
      <c r="B23" s="165" t="s">
        <v>195</v>
      </c>
      <c r="C23" s="140">
        <v>8200</v>
      </c>
      <c r="D23" s="166" t="s">
        <v>61</v>
      </c>
      <c r="E23" s="167" t="s">
        <v>61</v>
      </c>
      <c r="F23" s="168">
        <f>IFERROR((F24/F22)*100,0)</f>
        <v>101.45442792501615</v>
      </c>
      <c r="G23" s="166" t="s">
        <v>61</v>
      </c>
      <c r="H23" s="167" t="s">
        <v>61</v>
      </c>
      <c r="I23" s="168">
        <f>IFERROR((I24/I22)*100,0)</f>
        <v>100</v>
      </c>
      <c r="J23" s="334" t="s">
        <v>61</v>
      </c>
      <c r="K23" s="335" t="s">
        <v>61</v>
      </c>
      <c r="L23" s="336">
        <v>100</v>
      </c>
      <c r="M23" s="334" t="s">
        <v>61</v>
      </c>
      <c r="N23" s="337" t="s">
        <v>61</v>
      </c>
      <c r="O23" s="336">
        <v>100</v>
      </c>
      <c r="P23" s="334" t="s">
        <v>61</v>
      </c>
      <c r="Q23" s="335" t="s">
        <v>61</v>
      </c>
      <c r="R23" s="336">
        <v>100</v>
      </c>
      <c r="S23" s="334" t="s">
        <v>61</v>
      </c>
      <c r="T23" s="338" t="s">
        <v>61</v>
      </c>
      <c r="U23" s="336">
        <v>100</v>
      </c>
    </row>
    <row r="24" spans="1:22" ht="100.5" thickBot="1">
      <c r="A24" s="153" t="s">
        <v>196</v>
      </c>
      <c r="B24" s="169" t="str">
        <f>CONCATENATE("Сумма налога на игорный бизнес,
- уплаченная в бюджет (в ",p_report_year-2,"-",p_report_year-1,"гг ф. № 1-НМ гр.3) 
- подлежащая уплате в бюджет (в прогнозируемых периодах ",p_report_year,"-",p_report_year+3,"гг.), с учётом собираемости, тыс. рублей*")</f>
        <v>Сумма налога на игорный бизнес,
- уплаченная в бюджет (в 2023-2024гг ф. № 1-НМ гр.3) 
- подлежащая уплате в бюджет (в прогнозируемых периодах 2025-2028гг.), с учётом собираемости, тыс. рублей*</v>
      </c>
      <c r="C24" s="170">
        <v>8300</v>
      </c>
      <c r="D24" s="171" t="s">
        <v>61</v>
      </c>
      <c r="E24" s="172" t="s">
        <v>61</v>
      </c>
      <c r="F24" s="173">
        <v>3139</v>
      </c>
      <c r="G24" s="171" t="s">
        <v>61</v>
      </c>
      <c r="H24" s="172" t="s">
        <v>61</v>
      </c>
      <c r="I24" s="174">
        <v>3108</v>
      </c>
      <c r="J24" s="339" t="s">
        <v>61</v>
      </c>
      <c r="K24" s="340" t="s">
        <v>61</v>
      </c>
      <c r="L24" s="341">
        <v>3024</v>
      </c>
      <c r="M24" s="339" t="s">
        <v>61</v>
      </c>
      <c r="N24" s="340" t="s">
        <v>61</v>
      </c>
      <c r="O24" s="341">
        <v>3024</v>
      </c>
      <c r="P24" s="339" t="s">
        <v>61</v>
      </c>
      <c r="Q24" s="340" t="s">
        <v>61</v>
      </c>
      <c r="R24" s="341">
        <v>3024</v>
      </c>
      <c r="S24" s="339" t="s">
        <v>61</v>
      </c>
      <c r="T24" s="342" t="s">
        <v>61</v>
      </c>
      <c r="U24" s="341">
        <v>3024</v>
      </c>
      <c r="V24" s="118"/>
    </row>
    <row r="25" spans="1:22" ht="15">
      <c r="A25" s="114"/>
      <c r="B25" s="175"/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</row>
    <row r="26" spans="1:22" ht="118.5" customHeight="1">
      <c r="A26" s="114"/>
      <c r="B26" s="394" t="str">
        <f>CONCATENATE("* Сумма налога на игорный бизнес по стр.11 таблицы 
- по ",p_report_year-2," и ",p_report_year-1,"годам, заполняется по данным ф. № 1-НМ (гр. 3 стр.1610 разд.1) за период с февраля ",p_report_year-2," года (февраля ",p_report_year-1," года) по январь ",p_report_year-1," года (январь ",p_report_year," года) включительно по соответствующим годам.  После чего рассчитывается собираемость по стр.10, как стр.11/стр. 9х100. Таким образом рассчитываем фактически сложившуюся собираемость в прошедших отчетных периодах;
- при оценке (уточнении оценки) ",p_report_year," года и прогнозе на ",p_report_year+1,"-",p_report_year+3," годы сначала указывается собираемость по стр.10, а затем заполняется стр.11, как стр.9хстр.10/100 
- собираемость на прогнозируемый период ",p_report_year+1,"-",p_report_year+3," не может быть выше 100% ")</f>
        <v xml:space="preserve">* Сумма налога на игорный бизнес по стр.11 таблицы 
- по 2023 и 2024годам, заполняется по данным ф. № 1-НМ (гр. 3 стр.1610 разд.1) за период с февраля 2023 года (февраля 2024 года) по январь 2024 года (январь 2025 года) включительно по соответствующим годам.  После чего рассчитывается собираемость по стр.10, как стр.11/стр. 9х100. Таким образом рассчитываем фактически сложившуюся собираемость в прошедших отчетных периодах;
- при оценке (уточнении оценки) 2025 года и прогнозе на 2026-2028 годы сначала указывается собираемость по стр.10, а затем заполняется стр.11, как стр.9хстр.10/100 
- собираемость на прогнозируемый период 2026-2028 не может быть выше 100% </v>
      </c>
      <c r="C26" s="394"/>
      <c r="D26" s="394"/>
      <c r="E26" s="394"/>
      <c r="F26" s="394"/>
      <c r="G26" s="394"/>
      <c r="H26" s="394"/>
      <c r="I26" s="394"/>
      <c r="J26" s="394"/>
      <c r="K26" s="394"/>
      <c r="L26" s="394"/>
      <c r="M26" s="394"/>
      <c r="N26" s="394"/>
      <c r="O26" s="394"/>
      <c r="P26" s="394"/>
      <c r="Q26" s="394"/>
      <c r="R26" s="394"/>
      <c r="S26" s="394"/>
      <c r="T26" s="394"/>
      <c r="U26" s="394"/>
    </row>
  </sheetData>
  <mergeCells count="12">
    <mergeCell ref="P3:R3"/>
    <mergeCell ref="S3:U3"/>
    <mergeCell ref="B26:U26"/>
    <mergeCell ref="B1:F1"/>
    <mergeCell ref="A3:A4"/>
    <mergeCell ref="B3:B4"/>
    <mergeCell ref="C3:C4"/>
    <mergeCell ref="D3:F3"/>
    <mergeCell ref="G3:I3"/>
    <mergeCell ref="J3:L3"/>
    <mergeCell ref="M3:O3"/>
    <mergeCell ref="T1:U1"/>
  </mergeCells>
  <pageMargins left="0" right="0" top="0.74803149606299213" bottom="0.74803149606299213" header="0.31496062992125984" footer="0.31496062992125984"/>
  <pageSetup paperSize="9" scale="44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92D050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4.710937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56</v>
      </c>
    </row>
    <row r="2" spans="1:9" ht="39.75" customHeight="1">
      <c r="A2" s="427" t="s">
        <v>72</v>
      </c>
      <c r="B2" s="427"/>
      <c r="C2" s="427"/>
      <c r="D2" s="427"/>
      <c r="E2" s="427"/>
      <c r="F2" s="427"/>
      <c r="G2" s="427"/>
      <c r="H2" s="427"/>
      <c r="I2" s="427"/>
    </row>
    <row r="3" spans="1:9" ht="18" customHeight="1">
      <c r="A3" s="58" t="s">
        <v>45</v>
      </c>
      <c r="B3" s="66" t="s">
        <v>73</v>
      </c>
      <c r="C3" s="63"/>
      <c r="D3" s="60"/>
      <c r="E3" s="60"/>
      <c r="F3" s="60"/>
      <c r="G3" s="60"/>
      <c r="H3" s="60"/>
    </row>
    <row r="4" spans="1:9">
      <c r="A4" s="61"/>
      <c r="B4" s="62"/>
      <c r="C4" s="60"/>
      <c r="D4" s="60"/>
      <c r="E4" s="60"/>
      <c r="F4" s="60"/>
      <c r="G4" s="60"/>
      <c r="H4" s="60"/>
    </row>
    <row r="5" spans="1:9" ht="42.75" customHeight="1">
      <c r="A5" s="426" t="s">
        <v>199</v>
      </c>
      <c r="B5" s="426"/>
      <c r="C5" s="180"/>
      <c r="D5" s="64">
        <f>E13</f>
        <v>1355248</v>
      </c>
      <c r="E5" s="65" t="s">
        <v>57</v>
      </c>
      <c r="F5" s="428" t="s">
        <v>418</v>
      </c>
      <c r="G5" s="429"/>
      <c r="H5" s="429"/>
      <c r="I5" s="430"/>
    </row>
    <row r="6" spans="1:9" ht="33.75" customHeight="1">
      <c r="A6" s="426" t="s">
        <v>71</v>
      </c>
      <c r="B6" s="426"/>
      <c r="C6" s="179"/>
      <c r="D6" s="64">
        <f>E14</f>
        <v>1485422</v>
      </c>
      <c r="E6" s="65" t="s">
        <v>57</v>
      </c>
      <c r="F6" s="431"/>
      <c r="G6" s="432"/>
      <c r="H6" s="432"/>
      <c r="I6" s="433"/>
    </row>
    <row r="7" spans="1:9" ht="33.75" customHeight="1">
      <c r="A7" s="426" t="s">
        <v>103</v>
      </c>
      <c r="B7" s="426"/>
      <c r="C7" s="179"/>
      <c r="D7" s="64">
        <f>E15</f>
        <v>1610024</v>
      </c>
      <c r="E7" s="65" t="s">
        <v>57</v>
      </c>
      <c r="F7" s="431"/>
      <c r="G7" s="432"/>
      <c r="H7" s="432"/>
      <c r="I7" s="433"/>
    </row>
    <row r="8" spans="1:9" ht="33.75" customHeight="1">
      <c r="A8" s="426" t="s">
        <v>200</v>
      </c>
      <c r="B8" s="426"/>
      <c r="C8" s="179"/>
      <c r="D8" s="64">
        <f>E16</f>
        <v>1742268</v>
      </c>
      <c r="E8" s="65" t="s">
        <v>57</v>
      </c>
      <c r="F8" s="434"/>
      <c r="G8" s="435"/>
      <c r="H8" s="435"/>
      <c r="I8" s="436"/>
    </row>
    <row r="9" spans="1:9">
      <c r="A9" s="69"/>
      <c r="B9" s="68"/>
      <c r="C9" s="73"/>
      <c r="D9" s="73"/>
      <c r="E9" s="73"/>
      <c r="F9" s="73"/>
      <c r="G9" s="73"/>
      <c r="H9" s="73"/>
      <c r="I9" s="67"/>
    </row>
    <row r="10" spans="1:9" ht="25.5" customHeight="1">
      <c r="A10" s="425" t="s">
        <v>50</v>
      </c>
      <c r="B10" s="425"/>
      <c r="C10" s="425"/>
      <c r="D10" s="425"/>
      <c r="E10" s="425"/>
      <c r="F10" s="425"/>
      <c r="G10" s="425"/>
      <c r="H10" s="425"/>
      <c r="I10" s="425"/>
    </row>
    <row r="11" spans="1:9" ht="66.75" customHeight="1">
      <c r="A11" s="412" t="s">
        <v>43</v>
      </c>
      <c r="B11" s="412" t="s">
        <v>41</v>
      </c>
      <c r="C11" s="412" t="s">
        <v>58</v>
      </c>
      <c r="D11" s="418" t="s">
        <v>49</v>
      </c>
      <c r="E11" s="418" t="s">
        <v>51</v>
      </c>
      <c r="F11" s="418" t="s">
        <v>42</v>
      </c>
      <c r="G11" s="420" t="s">
        <v>44</v>
      </c>
      <c r="H11" s="421"/>
      <c r="I11" s="412" t="s">
        <v>46</v>
      </c>
    </row>
    <row r="12" spans="1:9" ht="66.75" customHeight="1">
      <c r="A12" s="413"/>
      <c r="B12" s="413"/>
      <c r="C12" s="413"/>
      <c r="D12" s="419"/>
      <c r="E12" s="419"/>
      <c r="F12" s="419"/>
      <c r="G12" s="182" t="s">
        <v>47</v>
      </c>
      <c r="H12" s="182" t="s">
        <v>48</v>
      </c>
      <c r="I12" s="413"/>
    </row>
    <row r="13" spans="1:9" ht="66.75" customHeight="1">
      <c r="A13" s="185">
        <v>1</v>
      </c>
      <c r="B13" s="347" t="s">
        <v>201</v>
      </c>
      <c r="C13" s="181" t="s">
        <v>422</v>
      </c>
      <c r="D13" s="183" t="s">
        <v>62</v>
      </c>
      <c r="E13" s="176">
        <v>1355248</v>
      </c>
      <c r="F13" s="182" t="s">
        <v>18</v>
      </c>
      <c r="G13" s="184"/>
      <c r="H13" s="184"/>
      <c r="I13" s="183" t="s">
        <v>420</v>
      </c>
    </row>
    <row r="14" spans="1:9" ht="57.75" customHeight="1">
      <c r="A14" s="185">
        <v>2</v>
      </c>
      <c r="B14" s="415" t="s">
        <v>417</v>
      </c>
      <c r="C14" s="355" t="s">
        <v>419</v>
      </c>
      <c r="D14" s="348" t="s">
        <v>64</v>
      </c>
      <c r="E14" s="176">
        <v>1485422</v>
      </c>
      <c r="F14" s="182" t="s">
        <v>18</v>
      </c>
      <c r="G14" s="59"/>
      <c r="H14" s="59"/>
      <c r="I14" s="422" t="s">
        <v>421</v>
      </c>
    </row>
    <row r="15" spans="1:9" ht="66.75" customHeight="1">
      <c r="A15" s="185">
        <v>3</v>
      </c>
      <c r="B15" s="416"/>
      <c r="C15" s="414"/>
      <c r="D15" s="348" t="s">
        <v>102</v>
      </c>
      <c r="E15" s="176">
        <v>1610024</v>
      </c>
      <c r="F15" s="182" t="s">
        <v>18</v>
      </c>
      <c r="G15" s="59"/>
      <c r="H15" s="59"/>
      <c r="I15" s="423"/>
    </row>
    <row r="16" spans="1:9" ht="79.5" customHeight="1">
      <c r="A16" s="185">
        <v>4</v>
      </c>
      <c r="B16" s="417"/>
      <c r="C16" s="356"/>
      <c r="D16" s="348" t="s">
        <v>198</v>
      </c>
      <c r="E16" s="176">
        <v>1742268</v>
      </c>
      <c r="F16" s="182" t="s">
        <v>18</v>
      </c>
      <c r="G16" s="59"/>
      <c r="H16" s="59"/>
      <c r="I16" s="424"/>
    </row>
  </sheetData>
  <mergeCells count="18">
    <mergeCell ref="A10:I10"/>
    <mergeCell ref="A8:B8"/>
    <mergeCell ref="A2:I2"/>
    <mergeCell ref="A5:B5"/>
    <mergeCell ref="A6:B6"/>
    <mergeCell ref="A7:B7"/>
    <mergeCell ref="F5:I8"/>
    <mergeCell ref="I11:I12"/>
    <mergeCell ref="C14:C16"/>
    <mergeCell ref="B14:B16"/>
    <mergeCell ref="A11:A12"/>
    <mergeCell ref="B11:B12"/>
    <mergeCell ref="C11:C12"/>
    <mergeCell ref="D11:D12"/>
    <mergeCell ref="E11:E12"/>
    <mergeCell ref="F11:F12"/>
    <mergeCell ref="G11:H11"/>
    <mergeCell ref="I14:I16"/>
  </mergeCells>
  <pageMargins left="0.7" right="0.7" top="0.75" bottom="0.75" header="0.3" footer="0.3"/>
  <pageSetup paperSize="9" scale="63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152</vt:i4>
      </vt:variant>
    </vt:vector>
  </HeadingPairs>
  <TitlesOfParts>
    <vt:vector size="169" baseType="lpstr">
      <vt:lpstr>тыс.руб.</vt:lpstr>
      <vt:lpstr>НИО</vt:lpstr>
      <vt:lpstr>ТН ЮЛ</vt:lpstr>
      <vt:lpstr>ТН ФЛ</vt:lpstr>
      <vt:lpstr>ЗН ЮЛ</vt:lpstr>
      <vt:lpstr>ЗН ФЛ </vt:lpstr>
      <vt:lpstr>НИ ФЛ_</vt:lpstr>
      <vt:lpstr>ИБ</vt:lpstr>
      <vt:lpstr>Пени</vt:lpstr>
      <vt:lpstr>Дох акц 9%</vt:lpstr>
      <vt:lpstr>Дох акц этил спирт пищ.сырье</vt:lpstr>
      <vt:lpstr>Дох акц спирт.прод</vt:lpstr>
      <vt:lpstr>Дох акц спирт НЕпищ.сырье</vt:lpstr>
      <vt:lpstr>Дох акц диз.топ</vt:lpstr>
      <vt:lpstr>Дох акц мотор.масла</vt:lpstr>
      <vt:lpstr>Дох акц авт.бенз</vt:lpstr>
      <vt:lpstr>Дох акц прям.бенз</vt:lpstr>
      <vt:lpstr>CS_7160_2</vt:lpstr>
      <vt:lpstr>CS_7160_3</vt:lpstr>
      <vt:lpstr>CS_7160_4</vt:lpstr>
      <vt:lpstr>CS_7160_5</vt:lpstr>
      <vt:lpstr>CS_7890_2</vt:lpstr>
      <vt:lpstr>CS_7890_3</vt:lpstr>
      <vt:lpstr>CS_7890_4</vt:lpstr>
      <vt:lpstr>CS_7897_2</vt:lpstr>
      <vt:lpstr>CS_7897_3</vt:lpstr>
      <vt:lpstr>CS_7897_4</vt:lpstr>
      <vt:lpstr>CS_7899_2</vt:lpstr>
      <vt:lpstr>CS_7899_3</vt:lpstr>
      <vt:lpstr>CS_7899_4</vt:lpstr>
      <vt:lpstr>ИБ!CS_8010_1</vt:lpstr>
      <vt:lpstr>ИБ!CS_8010_10</vt:lpstr>
      <vt:lpstr>ИБ!CS_8010_12</vt:lpstr>
      <vt:lpstr>ИБ!CS_8010_13</vt:lpstr>
      <vt:lpstr>ИБ!CS_8010_15</vt:lpstr>
      <vt:lpstr>ИБ!CS_8010_16</vt:lpstr>
      <vt:lpstr>ИБ!CS_8010_18</vt:lpstr>
      <vt:lpstr>ИБ!CS_8010_3</vt:lpstr>
      <vt:lpstr>ИБ!CS_8010_4</vt:lpstr>
      <vt:lpstr>ИБ!CS_8010_6</vt:lpstr>
      <vt:lpstr>ИБ!CS_8010_7</vt:lpstr>
      <vt:lpstr>ИБ!CS_8010_9</vt:lpstr>
      <vt:lpstr>ИБ!CS_8011_1</vt:lpstr>
      <vt:lpstr>ИБ!CS_8011_3</vt:lpstr>
      <vt:lpstr>ИБ!CS_8020_1</vt:lpstr>
      <vt:lpstr>ИБ!CS_8020_10</vt:lpstr>
      <vt:lpstr>ИБ!CS_8020_12</vt:lpstr>
      <vt:lpstr>ИБ!CS_8020_13</vt:lpstr>
      <vt:lpstr>ИБ!CS_8020_15</vt:lpstr>
      <vt:lpstr>ИБ!CS_8020_16</vt:lpstr>
      <vt:lpstr>ИБ!CS_8020_18</vt:lpstr>
      <vt:lpstr>ИБ!CS_8020_3</vt:lpstr>
      <vt:lpstr>ИБ!CS_8020_4</vt:lpstr>
      <vt:lpstr>ИБ!CS_8020_6</vt:lpstr>
      <vt:lpstr>ИБ!CS_8020_7</vt:lpstr>
      <vt:lpstr>ИБ!CS_8020_9</vt:lpstr>
      <vt:lpstr>ИБ!CS_8021_1</vt:lpstr>
      <vt:lpstr>ИБ!CS_8021_3</vt:lpstr>
      <vt:lpstr>ИБ!CS_8030_1</vt:lpstr>
      <vt:lpstr>ИБ!CS_8030_10</vt:lpstr>
      <vt:lpstr>ИБ!CS_8030_12</vt:lpstr>
      <vt:lpstr>ИБ!CS_8030_13</vt:lpstr>
      <vt:lpstr>ИБ!CS_8030_15</vt:lpstr>
      <vt:lpstr>ИБ!CS_8030_16</vt:lpstr>
      <vt:lpstr>ИБ!CS_8030_18</vt:lpstr>
      <vt:lpstr>ИБ!CS_8030_3</vt:lpstr>
      <vt:lpstr>ИБ!CS_8030_4</vt:lpstr>
      <vt:lpstr>ИБ!CS_8030_6</vt:lpstr>
      <vt:lpstr>ИБ!CS_8030_7</vt:lpstr>
      <vt:lpstr>ИБ!CS_8030_9</vt:lpstr>
      <vt:lpstr>ИБ!CS_8031_1</vt:lpstr>
      <vt:lpstr>ИБ!CS_8031_3</vt:lpstr>
      <vt:lpstr>ИБ!CS_8040_1</vt:lpstr>
      <vt:lpstr>ИБ!CS_8040_10</vt:lpstr>
      <vt:lpstr>ИБ!CS_8040_12</vt:lpstr>
      <vt:lpstr>ИБ!CS_8040_13</vt:lpstr>
      <vt:lpstr>ИБ!CS_8040_15</vt:lpstr>
      <vt:lpstr>ИБ!CS_8040_16</vt:lpstr>
      <vt:lpstr>ИБ!CS_8040_18</vt:lpstr>
      <vt:lpstr>ИБ!CS_8040_3</vt:lpstr>
      <vt:lpstr>ИБ!CS_8040_4</vt:lpstr>
      <vt:lpstr>ИБ!CS_8040_6</vt:lpstr>
      <vt:lpstr>ИБ!CS_8040_7</vt:lpstr>
      <vt:lpstr>ИБ!CS_8040_9</vt:lpstr>
      <vt:lpstr>ИБ!CS_8041_1</vt:lpstr>
      <vt:lpstr>ИБ!CS_8041_3</vt:lpstr>
      <vt:lpstr>ИБ!CS_8050_1</vt:lpstr>
      <vt:lpstr>ИБ!CS_8050_10</vt:lpstr>
      <vt:lpstr>ИБ!CS_8050_12</vt:lpstr>
      <vt:lpstr>ИБ!CS_8050_13</vt:lpstr>
      <vt:lpstr>ИБ!CS_8050_15</vt:lpstr>
      <vt:lpstr>ИБ!CS_8050_16</vt:lpstr>
      <vt:lpstr>ИБ!CS_8050_18</vt:lpstr>
      <vt:lpstr>ИБ!CS_8050_3</vt:lpstr>
      <vt:lpstr>ИБ!CS_8050_4</vt:lpstr>
      <vt:lpstr>ИБ!CS_8050_6</vt:lpstr>
      <vt:lpstr>ИБ!CS_8050_7</vt:lpstr>
      <vt:lpstr>ИБ!CS_8050_9</vt:lpstr>
      <vt:lpstr>ИБ!CS_8051_1</vt:lpstr>
      <vt:lpstr>ИБ!CS_8051_3</vt:lpstr>
      <vt:lpstr>ИБ!CS_8060_1</vt:lpstr>
      <vt:lpstr>ИБ!CS_8060_10</vt:lpstr>
      <vt:lpstr>ИБ!CS_8060_12</vt:lpstr>
      <vt:lpstr>ИБ!CS_8060_13</vt:lpstr>
      <vt:lpstr>ИБ!CS_8060_15</vt:lpstr>
      <vt:lpstr>ИБ!CS_8060_16</vt:lpstr>
      <vt:lpstr>ИБ!CS_8060_18</vt:lpstr>
      <vt:lpstr>ИБ!CS_8060_3</vt:lpstr>
      <vt:lpstr>ИБ!CS_8060_4</vt:lpstr>
      <vt:lpstr>ИБ!CS_8060_6</vt:lpstr>
      <vt:lpstr>ИБ!CS_8060_7</vt:lpstr>
      <vt:lpstr>ИБ!CS_8060_9</vt:lpstr>
      <vt:lpstr>ИБ!CS_8061_1</vt:lpstr>
      <vt:lpstr>ИБ!CS_8061_3</vt:lpstr>
      <vt:lpstr>ИБ!CS_8070_1</vt:lpstr>
      <vt:lpstr>ИБ!CS_8070_10</vt:lpstr>
      <vt:lpstr>ИБ!CS_8070_12</vt:lpstr>
      <vt:lpstr>ИБ!CS_8070_13</vt:lpstr>
      <vt:lpstr>ИБ!CS_8070_15</vt:lpstr>
      <vt:lpstr>ИБ!CS_8070_16</vt:lpstr>
      <vt:lpstr>ИБ!CS_8070_18</vt:lpstr>
      <vt:lpstr>ИБ!CS_8070_3</vt:lpstr>
      <vt:lpstr>ИБ!CS_8070_4</vt:lpstr>
      <vt:lpstr>ИБ!CS_8070_6</vt:lpstr>
      <vt:lpstr>ИБ!CS_8070_7</vt:lpstr>
      <vt:lpstr>ИБ!CS_8070_9</vt:lpstr>
      <vt:lpstr>ИБ!CS_8071_1</vt:lpstr>
      <vt:lpstr>ИБ!CS_8071_3</vt:lpstr>
      <vt:lpstr>ИБ!CS_8080_1</vt:lpstr>
      <vt:lpstr>ИБ!CS_8080_10</vt:lpstr>
      <vt:lpstr>ИБ!CS_8080_12</vt:lpstr>
      <vt:lpstr>ИБ!CS_8080_13</vt:lpstr>
      <vt:lpstr>ИБ!CS_8080_15</vt:lpstr>
      <vt:lpstr>ИБ!CS_8080_16</vt:lpstr>
      <vt:lpstr>ИБ!CS_8080_18</vt:lpstr>
      <vt:lpstr>ИБ!CS_8080_3</vt:lpstr>
      <vt:lpstr>ИБ!CS_8080_4</vt:lpstr>
      <vt:lpstr>ИБ!CS_8080_6</vt:lpstr>
      <vt:lpstr>ИБ!CS_8080_7</vt:lpstr>
      <vt:lpstr>ИБ!CS_8080_9</vt:lpstr>
      <vt:lpstr>ИБ!CS_8081_1</vt:lpstr>
      <vt:lpstr>ИБ!CS_8081_3</vt:lpstr>
      <vt:lpstr>ИБ!CS_8200_12</vt:lpstr>
      <vt:lpstr>ИБ!CS_8200_15</vt:lpstr>
      <vt:lpstr>ИБ!CS_8200_18</vt:lpstr>
      <vt:lpstr>ИБ!CS_8200_9</vt:lpstr>
      <vt:lpstr>CS_8300_12</vt:lpstr>
      <vt:lpstr>CS_8300_15</vt:lpstr>
      <vt:lpstr>CS_8300_18</vt:lpstr>
      <vt:lpstr>ИБ!CS_8300_3</vt:lpstr>
      <vt:lpstr>ИБ!CS_8300_6</vt:lpstr>
      <vt:lpstr>CS_8300_9</vt:lpstr>
      <vt:lpstr>лоп</vt:lpstr>
      <vt:lpstr>'Дох акц 9%'!Область_печати</vt:lpstr>
      <vt:lpstr>'Дох акц авт.бенз'!Область_печати</vt:lpstr>
      <vt:lpstr>'Дох акц диз.топ'!Область_печати</vt:lpstr>
      <vt:lpstr>'Дох акц мотор.масла'!Область_печати</vt:lpstr>
      <vt:lpstr>'Дох акц прям.бенз'!Область_печати</vt:lpstr>
      <vt:lpstr>'Дох акц спирт НЕпищ.сырье'!Область_печати</vt:lpstr>
      <vt:lpstr>'Дох акц спирт.прод'!Область_печати</vt:lpstr>
      <vt:lpstr>'Дох акц этил спирт пищ.сырье'!Область_печати</vt:lpstr>
      <vt:lpstr>'ЗН ФЛ '!Область_печати</vt:lpstr>
      <vt:lpstr>'ЗН ЮЛ'!Область_печати</vt:lpstr>
      <vt:lpstr>'НИ ФЛ_'!Область_печати</vt:lpstr>
      <vt:lpstr>НИО!Область_печати</vt:lpstr>
      <vt:lpstr>Пени!Область_печати</vt:lpstr>
      <vt:lpstr>'ТН ФЛ'!Область_печати</vt:lpstr>
      <vt:lpstr>'ТН ЮЛ'!Область_печати</vt:lpstr>
      <vt:lpstr>тыс.руб.!Область_печати</vt:lpstr>
    </vt:vector>
  </TitlesOfParts>
  <Company>по Новосибирской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Воротникова</dc:creator>
  <cp:lastModifiedBy>Коновалова Елена Сергеевна</cp:lastModifiedBy>
  <cp:lastPrinted>2025-10-20T11:04:45Z</cp:lastPrinted>
  <dcterms:created xsi:type="dcterms:W3CDTF">2010-12-03T04:17:32Z</dcterms:created>
  <dcterms:modified xsi:type="dcterms:W3CDTF">2025-10-20T11:11:31Z</dcterms:modified>
</cp:coreProperties>
</file>